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firstSheet="4" activeTab="11"/>
  </bookViews>
  <sheets>
    <sheet name="para-6 (A)" sheetId="15" r:id="rId1"/>
    <sheet name="para-6 (B)" sheetId="14" r:id="rId2"/>
    <sheet name="Expnd 2013-14" sheetId="1" r:id="rId3"/>
    <sheet name="expnd 2014-15" sheetId="2" r:id="rId4"/>
    <sheet name="expnd 2015-16" sheetId="3" r:id="rId5"/>
    <sheet name="Expnd 2016-17" sheetId="4" r:id="rId6"/>
    <sheet name="Net unirrigated area" sheetId="5" r:id="rId7"/>
    <sheet name="SCST popn" sheetId="6" r:id="rId8"/>
    <sheet name="GSVA" sheetId="7" r:id="rId9"/>
    <sheet name="Small &amp; Marginal farmers" sheetId="8" r:id="rId10"/>
    <sheet name="youth popn" sheetId="9" r:id="rId11"/>
    <sheet name="Inc in expnd" sheetId="11" r:id="rId12"/>
    <sheet name="yield Gap" sheetId="13" r:id="rId13"/>
    <sheet name="Final Allocation" sheetId="12" r:id="rId14"/>
  </sheets>
  <definedNames>
    <definedName name="_xlnm.Print_Area" localSheetId="13">'Final Allocation'!$A$1:$L$56</definedName>
    <definedName name="_xlnm.Print_Area" localSheetId="11">'Inc in expnd'!$A$1:$P$39</definedName>
  </definedNames>
  <calcPr calcId="145621"/>
</workbook>
</file>

<file path=xl/calcChain.xml><?xml version="1.0" encoding="utf-8"?>
<calcChain xmlns="http://schemas.openxmlformats.org/spreadsheetml/2006/main">
  <c r="J17" i="3" l="1"/>
  <c r="J17" i="2"/>
  <c r="J17" i="1"/>
  <c r="L22" i="12"/>
  <c r="L23" i="12"/>
  <c r="L24" i="12"/>
  <c r="L25" i="12"/>
  <c r="L27" i="12"/>
  <c r="L28" i="12"/>
  <c r="L29" i="12"/>
  <c r="L30" i="12"/>
  <c r="L31" i="12"/>
  <c r="L32" i="12"/>
  <c r="L33" i="12"/>
  <c r="L34" i="12"/>
  <c r="L35" i="12"/>
  <c r="L5" i="12"/>
  <c r="L6" i="12"/>
  <c r="L7" i="12"/>
  <c r="L8" i="12"/>
  <c r="L9" i="12"/>
  <c r="L10" i="12"/>
  <c r="L11" i="12"/>
  <c r="L12" i="12"/>
  <c r="L13" i="12"/>
  <c r="L14" i="12"/>
  <c r="L15" i="12"/>
  <c r="L16" i="12"/>
  <c r="L17" i="12"/>
  <c r="L18" i="12"/>
  <c r="L19" i="12"/>
  <c r="L20" i="12"/>
  <c r="L21" i="12"/>
  <c r="L4" i="12"/>
  <c r="H5" i="6"/>
  <c r="H6" i="6"/>
  <c r="H7" i="6"/>
  <c r="H8" i="6"/>
  <c r="H9" i="6"/>
  <c r="H10" i="6"/>
  <c r="H11" i="6"/>
  <c r="H12" i="6"/>
  <c r="H13" i="6"/>
  <c r="H14" i="6"/>
  <c r="H15" i="6"/>
  <c r="H16" i="6"/>
  <c r="H17" i="6"/>
  <c r="H18" i="6"/>
  <c r="H19" i="6"/>
  <c r="H20" i="6"/>
  <c r="H21" i="6"/>
  <c r="H22" i="6"/>
  <c r="H23" i="6"/>
  <c r="H24" i="6"/>
  <c r="H25" i="6"/>
  <c r="H26" i="6"/>
  <c r="I5" i="12"/>
  <c r="I6" i="12"/>
  <c r="I7" i="12"/>
  <c r="I8" i="12"/>
  <c r="I9" i="12"/>
  <c r="I10" i="12"/>
  <c r="I11" i="12"/>
  <c r="I12" i="12"/>
  <c r="I13" i="12"/>
  <c r="I14" i="12"/>
  <c r="I15" i="12"/>
  <c r="I16" i="12"/>
  <c r="I17" i="12"/>
  <c r="I18" i="12"/>
  <c r="I19" i="12"/>
  <c r="I20" i="12"/>
  <c r="I21" i="12"/>
  <c r="I22" i="12"/>
  <c r="I23" i="12"/>
  <c r="I24" i="12"/>
  <c r="I25" i="12"/>
  <c r="I27" i="12"/>
  <c r="I28" i="12"/>
  <c r="I29" i="12"/>
  <c r="I30" i="12"/>
  <c r="I31" i="12"/>
  <c r="I32" i="12"/>
  <c r="I33" i="12"/>
  <c r="I34" i="12"/>
  <c r="I35" i="12"/>
  <c r="I4" i="12"/>
  <c r="H25" i="12"/>
  <c r="G25" i="12"/>
  <c r="D25" i="12"/>
  <c r="C25" i="12"/>
  <c r="N7" i="11"/>
  <c r="N8" i="11"/>
  <c r="N9" i="11"/>
  <c r="N10" i="11"/>
  <c r="O10" i="11" s="1"/>
  <c r="N11" i="11"/>
  <c r="N12" i="11"/>
  <c r="N13" i="11"/>
  <c r="N14" i="11"/>
  <c r="O14" i="11" s="1"/>
  <c r="N15" i="11"/>
  <c r="N16" i="11"/>
  <c r="N17" i="11"/>
  <c r="N18" i="11"/>
  <c r="O18" i="11" s="1"/>
  <c r="N19" i="11"/>
  <c r="N20" i="11"/>
  <c r="N21" i="11"/>
  <c r="N22" i="11"/>
  <c r="N23" i="11"/>
  <c r="N24" i="11"/>
  <c r="N25" i="11"/>
  <c r="N26" i="11"/>
  <c r="N27" i="11"/>
  <c r="N6" i="11"/>
  <c r="O6" i="11" s="1"/>
  <c r="L26" i="11"/>
  <c r="M26" i="11" s="1"/>
  <c r="L20" i="11"/>
  <c r="O32" i="11"/>
  <c r="O33" i="11"/>
  <c r="O34" i="11"/>
  <c r="O35" i="11"/>
  <c r="O36" i="11"/>
  <c r="O37" i="11"/>
  <c r="O38" i="11"/>
  <c r="O39" i="11"/>
  <c r="O31" i="11"/>
  <c r="O7" i="11"/>
  <c r="O8" i="11"/>
  <c r="O9" i="11"/>
  <c r="O11" i="11"/>
  <c r="O12" i="11"/>
  <c r="O13" i="11"/>
  <c r="O15" i="11"/>
  <c r="O16" i="11"/>
  <c r="O17" i="11"/>
  <c r="O19" i="11"/>
  <c r="O21" i="11"/>
  <c r="O22" i="11"/>
  <c r="O23" i="11"/>
  <c r="O24" i="11"/>
  <c r="O25" i="11"/>
  <c r="N32" i="11"/>
  <c r="N33" i="11"/>
  <c r="N34" i="11"/>
  <c r="N35" i="11"/>
  <c r="N36" i="11"/>
  <c r="N37" i="11"/>
  <c r="N38" i="11"/>
  <c r="N39" i="11"/>
  <c r="N31" i="11"/>
  <c r="M39" i="11"/>
  <c r="M31" i="11"/>
  <c r="M32" i="11"/>
  <c r="M33" i="11"/>
  <c r="M34" i="11"/>
  <c r="M35" i="11"/>
  <c r="M36" i="11"/>
  <c r="M37" i="11"/>
  <c r="M38" i="11"/>
  <c r="M7" i="11"/>
  <c r="M8" i="11"/>
  <c r="M9" i="11"/>
  <c r="M10" i="11"/>
  <c r="M11" i="11"/>
  <c r="M12" i="11"/>
  <c r="M13" i="11"/>
  <c r="M14" i="11"/>
  <c r="M15" i="11"/>
  <c r="M16" i="11"/>
  <c r="M17" i="11"/>
  <c r="M18" i="11"/>
  <c r="M19" i="11"/>
  <c r="M20" i="11"/>
  <c r="M21" i="11"/>
  <c r="M22" i="11"/>
  <c r="M23" i="11"/>
  <c r="M24" i="11"/>
  <c r="M25" i="11"/>
  <c r="M6" i="11"/>
  <c r="L31" i="11"/>
  <c r="L32" i="11"/>
  <c r="L33" i="11"/>
  <c r="L34" i="11"/>
  <c r="L36" i="11"/>
  <c r="L37" i="11"/>
  <c r="L38" i="11"/>
  <c r="L7" i="11"/>
  <c r="L10" i="11"/>
  <c r="L11" i="11"/>
  <c r="L12" i="11"/>
  <c r="L13" i="11"/>
  <c r="L14" i="11"/>
  <c r="L16" i="11"/>
  <c r="L17" i="11"/>
  <c r="L18" i="11"/>
  <c r="L19" i="11"/>
  <c r="L21" i="11"/>
  <c r="L22" i="11"/>
  <c r="L23" i="11"/>
  <c r="L25" i="11"/>
  <c r="L6" i="11"/>
  <c r="K31" i="11"/>
  <c r="K32" i="11"/>
  <c r="K33" i="11"/>
  <c r="K34" i="11"/>
  <c r="K35" i="11"/>
  <c r="K36" i="11"/>
  <c r="K37" i="11"/>
  <c r="K38" i="11"/>
  <c r="K7" i="11"/>
  <c r="K8" i="11"/>
  <c r="K9" i="11"/>
  <c r="K10" i="11"/>
  <c r="K11" i="11"/>
  <c r="K12" i="11"/>
  <c r="K13" i="11"/>
  <c r="K14" i="11"/>
  <c r="K15" i="11"/>
  <c r="K16" i="11"/>
  <c r="K17" i="11"/>
  <c r="K18" i="11"/>
  <c r="K19" i="11"/>
  <c r="K20" i="11"/>
  <c r="K21" i="11"/>
  <c r="K22" i="11"/>
  <c r="K23" i="11"/>
  <c r="K24" i="11"/>
  <c r="K25" i="11"/>
  <c r="K26" i="11"/>
  <c r="K6" i="11"/>
  <c r="O26" i="11" l="1"/>
  <c r="M27" i="11"/>
  <c r="O20" i="11"/>
  <c r="H7" i="11"/>
  <c r="H8" i="11"/>
  <c r="H9" i="11"/>
  <c r="H10" i="11"/>
  <c r="H11" i="11"/>
  <c r="H12" i="11"/>
  <c r="H13" i="11"/>
  <c r="H14" i="11"/>
  <c r="H15" i="11"/>
  <c r="H16" i="11"/>
  <c r="H17" i="11"/>
  <c r="H18" i="11"/>
  <c r="H19" i="11"/>
  <c r="H20" i="11"/>
  <c r="H21" i="11"/>
  <c r="H22" i="11"/>
  <c r="H23" i="11"/>
  <c r="H24" i="11"/>
  <c r="H25" i="11"/>
  <c r="H26" i="11"/>
  <c r="H31" i="11"/>
  <c r="H32" i="11"/>
  <c r="H33" i="11"/>
  <c r="H34" i="11"/>
  <c r="H35" i="11"/>
  <c r="H36" i="11"/>
  <c r="H37" i="11"/>
  <c r="H38" i="11"/>
  <c r="H6" i="11"/>
  <c r="E7" i="11"/>
  <c r="E8" i="11"/>
  <c r="E9" i="11"/>
  <c r="E10" i="11"/>
  <c r="E11" i="11"/>
  <c r="E12" i="11"/>
  <c r="E13" i="11"/>
  <c r="E14" i="11"/>
  <c r="E15" i="11"/>
  <c r="E16" i="11"/>
  <c r="E17" i="11"/>
  <c r="E18" i="11"/>
  <c r="E19" i="11"/>
  <c r="E20" i="11"/>
  <c r="E21" i="11"/>
  <c r="E22" i="11"/>
  <c r="E23" i="11"/>
  <c r="E24" i="11"/>
  <c r="E25" i="11"/>
  <c r="E26" i="11"/>
  <c r="E31" i="11"/>
  <c r="E32" i="11"/>
  <c r="E33" i="11"/>
  <c r="E34" i="11"/>
  <c r="E35" i="11"/>
  <c r="E36" i="11"/>
  <c r="E37" i="11"/>
  <c r="E38" i="11"/>
  <c r="E6" i="11"/>
  <c r="O27" i="11" l="1"/>
  <c r="J25" i="1"/>
  <c r="J26" i="1"/>
  <c r="J27" i="1"/>
  <c r="J28" i="1"/>
  <c r="J29" i="1"/>
  <c r="D37" i="5" l="1"/>
  <c r="C37" i="5"/>
  <c r="Q34" i="15" l="1"/>
  <c r="S34" i="15" s="1"/>
  <c r="O34" i="15"/>
  <c r="K34" i="15"/>
  <c r="L34" i="15" s="1"/>
  <c r="G34" i="15"/>
  <c r="I34" i="15" s="1"/>
  <c r="E34" i="15"/>
  <c r="U33" i="15"/>
  <c r="Q33" i="15"/>
  <c r="P33" i="15"/>
  <c r="N33" i="15"/>
  <c r="M33" i="15"/>
  <c r="O33" i="15" s="1"/>
  <c r="J33" i="15"/>
  <c r="L33" i="15" s="1"/>
  <c r="G33" i="15"/>
  <c r="F33" i="15"/>
  <c r="I33" i="15" s="1"/>
  <c r="E33" i="15"/>
  <c r="D33" i="15"/>
  <c r="C33" i="15"/>
  <c r="S32" i="15"/>
  <c r="O32" i="15"/>
  <c r="L32" i="15"/>
  <c r="I32" i="15"/>
  <c r="E32" i="15"/>
  <c r="S31" i="15"/>
  <c r="O31" i="15"/>
  <c r="L31" i="15"/>
  <c r="I31" i="15"/>
  <c r="E31" i="15"/>
  <c r="S30" i="15"/>
  <c r="O30" i="15"/>
  <c r="L30" i="15"/>
  <c r="I30" i="15"/>
  <c r="E30" i="15"/>
  <c r="A30" i="15"/>
  <c r="A31" i="15" s="1"/>
  <c r="A32" i="15" s="1"/>
  <c r="S29" i="15"/>
  <c r="O29" i="15"/>
  <c r="L29" i="15"/>
  <c r="I29" i="15"/>
  <c r="E29" i="15"/>
  <c r="L28" i="15"/>
  <c r="E28" i="15"/>
  <c r="T28" i="15" s="1"/>
  <c r="S27" i="15"/>
  <c r="O27" i="15"/>
  <c r="L27" i="15"/>
  <c r="I27" i="15"/>
  <c r="E27" i="15"/>
  <c r="S26" i="15"/>
  <c r="O26" i="15"/>
  <c r="L26" i="15"/>
  <c r="I26" i="15"/>
  <c r="E26" i="15"/>
  <c r="S25" i="15"/>
  <c r="O25" i="15"/>
  <c r="L25" i="15"/>
  <c r="I25" i="15"/>
  <c r="E25" i="15"/>
  <c r="S24" i="15"/>
  <c r="O24" i="15"/>
  <c r="L24" i="15"/>
  <c r="I24" i="15"/>
  <c r="E24" i="15"/>
  <c r="S23" i="15"/>
  <c r="O23" i="15"/>
  <c r="L23" i="15"/>
  <c r="I23" i="15"/>
  <c r="E23" i="15"/>
  <c r="S22" i="15"/>
  <c r="O22" i="15"/>
  <c r="L22" i="15"/>
  <c r="I22" i="15"/>
  <c r="E22" i="15"/>
  <c r="S21" i="15"/>
  <c r="O21" i="15"/>
  <c r="L21" i="15"/>
  <c r="I21" i="15"/>
  <c r="E21" i="15"/>
  <c r="S20" i="15"/>
  <c r="O20" i="15"/>
  <c r="L20" i="15"/>
  <c r="I20" i="15"/>
  <c r="E20" i="15"/>
  <c r="S19" i="15"/>
  <c r="O19" i="15"/>
  <c r="L19" i="15"/>
  <c r="I19" i="15"/>
  <c r="E19" i="15"/>
  <c r="S18" i="15"/>
  <c r="O18" i="15"/>
  <c r="L18" i="15"/>
  <c r="I18" i="15"/>
  <c r="E18" i="15"/>
  <c r="S17" i="15"/>
  <c r="O17" i="15"/>
  <c r="L17" i="15"/>
  <c r="I17" i="15"/>
  <c r="E17" i="15"/>
  <c r="S16" i="15"/>
  <c r="O16" i="15"/>
  <c r="L16" i="15"/>
  <c r="I16" i="15"/>
  <c r="E16" i="15"/>
  <c r="S15" i="15"/>
  <c r="O15" i="15"/>
  <c r="L15" i="15"/>
  <c r="I15" i="15"/>
  <c r="E15" i="15"/>
  <c r="S14" i="15"/>
  <c r="O14" i="15"/>
  <c r="L14" i="15"/>
  <c r="I14" i="15"/>
  <c r="E14" i="15"/>
  <c r="S13" i="15"/>
  <c r="O13" i="15"/>
  <c r="L13" i="15"/>
  <c r="I13" i="15"/>
  <c r="E13" i="15"/>
  <c r="S12" i="15"/>
  <c r="O12" i="15"/>
  <c r="L12" i="15"/>
  <c r="I12" i="15"/>
  <c r="E12" i="15"/>
  <c r="S11" i="15"/>
  <c r="O11" i="15"/>
  <c r="L11" i="15"/>
  <c r="I11" i="15"/>
  <c r="E11" i="15"/>
  <c r="S10" i="15"/>
  <c r="O10" i="15"/>
  <c r="L10" i="15"/>
  <c r="I10" i="15"/>
  <c r="E10" i="15"/>
  <c r="S9" i="15"/>
  <c r="O9" i="15"/>
  <c r="L9" i="15"/>
  <c r="I9" i="15"/>
  <c r="E9" i="15"/>
  <c r="S8" i="15"/>
  <c r="O8" i="15"/>
  <c r="L8" i="15"/>
  <c r="I8" i="15"/>
  <c r="E8" i="15"/>
  <c r="S7" i="15"/>
  <c r="O7" i="15"/>
  <c r="L7" i="15"/>
  <c r="I7" i="15"/>
  <c r="E7" i="15"/>
  <c r="S6" i="15"/>
  <c r="O6" i="15"/>
  <c r="L6" i="15"/>
  <c r="I6" i="15"/>
  <c r="T6" i="15" s="1"/>
  <c r="V6" i="15" s="1"/>
  <c r="E6" i="15"/>
  <c r="S5" i="15"/>
  <c r="O5" i="15"/>
  <c r="L5" i="15"/>
  <c r="I5" i="15"/>
  <c r="E5" i="15"/>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S4" i="15"/>
  <c r="O4" i="15"/>
  <c r="L4" i="15"/>
  <c r="I4" i="15"/>
  <c r="E4" i="15"/>
  <c r="R3" i="14"/>
  <c r="S3" i="14"/>
  <c r="T3" i="14" s="1"/>
  <c r="A4" i="14"/>
  <c r="R4" i="14"/>
  <c r="S4" i="14"/>
  <c r="T4" i="14" s="1"/>
  <c r="A5" i="14"/>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R5" i="14"/>
  <c r="S5" i="14"/>
  <c r="R6" i="14"/>
  <c r="S6" i="14"/>
  <c r="T6" i="14" s="1"/>
  <c r="R7" i="14"/>
  <c r="S7" i="14"/>
  <c r="T7" i="14" s="1"/>
  <c r="R8" i="14"/>
  <c r="S8" i="14"/>
  <c r="R9" i="14"/>
  <c r="S9" i="14"/>
  <c r="R10" i="14"/>
  <c r="T10" i="14" s="1"/>
  <c r="S10" i="14"/>
  <c r="R11" i="14"/>
  <c r="S11" i="14"/>
  <c r="T11" i="14" s="1"/>
  <c r="R12" i="14"/>
  <c r="S12" i="14"/>
  <c r="T12" i="14" s="1"/>
  <c r="R13" i="14"/>
  <c r="S13" i="14"/>
  <c r="R14" i="14"/>
  <c r="S14" i="14"/>
  <c r="T14" i="14"/>
  <c r="R15" i="14"/>
  <c r="S15" i="14"/>
  <c r="R16" i="14"/>
  <c r="S16" i="14"/>
  <c r="T16" i="14" s="1"/>
  <c r="R17" i="14"/>
  <c r="T17" i="14" s="1"/>
  <c r="S17" i="14"/>
  <c r="R18" i="14"/>
  <c r="S18" i="14"/>
  <c r="T18" i="14"/>
  <c r="R19" i="14"/>
  <c r="S19" i="14"/>
  <c r="T19" i="14" s="1"/>
  <c r="R20" i="14"/>
  <c r="S20" i="14"/>
  <c r="T20" i="14" s="1"/>
  <c r="R21" i="14"/>
  <c r="S21" i="14"/>
  <c r="R22" i="14"/>
  <c r="S22" i="14"/>
  <c r="T22" i="14" s="1"/>
  <c r="R23" i="14"/>
  <c r="S23" i="14"/>
  <c r="T23" i="14" s="1"/>
  <c r="R24" i="14"/>
  <c r="S24" i="14"/>
  <c r="R25" i="14"/>
  <c r="S25" i="14"/>
  <c r="R26" i="14"/>
  <c r="T26" i="14" s="1"/>
  <c r="S26" i="14"/>
  <c r="R27" i="14"/>
  <c r="S27" i="14"/>
  <c r="T27" i="14" s="1"/>
  <c r="R28" i="14"/>
  <c r="S28" i="14"/>
  <c r="T28" i="14"/>
  <c r="R29" i="14"/>
  <c r="S29" i="14"/>
  <c r="T29" i="14"/>
  <c r="A30" i="14"/>
  <c r="A31" i="14" s="1"/>
  <c r="R30" i="14"/>
  <c r="S30" i="14"/>
  <c r="T30" i="14" s="1"/>
  <c r="R31" i="14"/>
  <c r="S31" i="14"/>
  <c r="C32" i="14"/>
  <c r="D32" i="14"/>
  <c r="F32" i="14"/>
  <c r="G32" i="14"/>
  <c r="I32" i="14"/>
  <c r="J32" i="14"/>
  <c r="L32" i="14"/>
  <c r="M32" i="14"/>
  <c r="O32" i="14"/>
  <c r="P32" i="14"/>
  <c r="E5" i="13"/>
  <c r="F5" i="13"/>
  <c r="G5" i="13"/>
  <c r="I5" i="13" s="1"/>
  <c r="K5" i="13" s="1"/>
  <c r="M5" i="13"/>
  <c r="A6" i="13"/>
  <c r="A7" i="13" s="1"/>
  <c r="A8" i="13" s="1"/>
  <c r="A9" i="13" s="1"/>
  <c r="A10" i="13" s="1"/>
  <c r="A11" i="13" s="1"/>
  <c r="A12" i="13" s="1"/>
  <c r="A13" i="13" s="1"/>
  <c r="A14" i="13" s="1"/>
  <c r="A15" i="13" s="1"/>
  <c r="A16" i="13" s="1"/>
  <c r="A17" i="13" s="1"/>
  <c r="A18" i="13" s="1"/>
  <c r="A19" i="13" s="1"/>
  <c r="A20" i="13" s="1"/>
  <c r="A21" i="13" s="1"/>
  <c r="A22" i="13" s="1"/>
  <c r="A23" i="13" s="1"/>
  <c r="A24" i="13" s="1"/>
  <c r="A25" i="13" s="1"/>
  <c r="E6" i="13"/>
  <c r="F6" i="13"/>
  <c r="G6" i="13"/>
  <c r="I6" i="13"/>
  <c r="K6" i="13" s="1"/>
  <c r="M6" i="13"/>
  <c r="E7" i="13"/>
  <c r="F7" i="13" s="1"/>
  <c r="G7" i="13" s="1"/>
  <c r="I7" i="13" s="1"/>
  <c r="K7" i="13" s="1"/>
  <c r="M7" i="13"/>
  <c r="E8" i="13"/>
  <c r="F8" i="13"/>
  <c r="G8" i="13" s="1"/>
  <c r="I8" i="13" s="1"/>
  <c r="K8" i="13" s="1"/>
  <c r="M8" i="13"/>
  <c r="E9" i="13"/>
  <c r="F9" i="13"/>
  <c r="G9" i="13"/>
  <c r="I9" i="13" s="1"/>
  <c r="K9" i="13" s="1"/>
  <c r="M9" i="13"/>
  <c r="E10" i="13"/>
  <c r="F10" i="13"/>
  <c r="G10" i="13"/>
  <c r="I10" i="13"/>
  <c r="K10" i="13" s="1"/>
  <c r="M10" i="13"/>
  <c r="E11" i="13"/>
  <c r="F11" i="13" s="1"/>
  <c r="G11" i="13" s="1"/>
  <c r="I11" i="13" s="1"/>
  <c r="K11" i="13" s="1"/>
  <c r="M11" i="13"/>
  <c r="E12" i="13"/>
  <c r="F12" i="13"/>
  <c r="G12" i="13" s="1"/>
  <c r="I12" i="13" s="1"/>
  <c r="K12" i="13" s="1"/>
  <c r="M12" i="13"/>
  <c r="E13" i="13"/>
  <c r="F13" i="13"/>
  <c r="G13" i="13"/>
  <c r="I13" i="13" s="1"/>
  <c r="K13" i="13" s="1"/>
  <c r="M13" i="13"/>
  <c r="E14" i="13"/>
  <c r="F14" i="13"/>
  <c r="G14" i="13"/>
  <c r="I14" i="13"/>
  <c r="K14" i="13" s="1"/>
  <c r="M14" i="13"/>
  <c r="E15" i="13"/>
  <c r="F15" i="13" s="1"/>
  <c r="G15" i="13" s="1"/>
  <c r="I15" i="13" s="1"/>
  <c r="K15" i="13" s="1"/>
  <c r="M15" i="13"/>
  <c r="E16" i="13"/>
  <c r="F16" i="13"/>
  <c r="G16" i="13" s="1"/>
  <c r="I16" i="13" s="1"/>
  <c r="K16" i="13" s="1"/>
  <c r="M16" i="13"/>
  <c r="E17" i="13"/>
  <c r="F17" i="13"/>
  <c r="G17" i="13"/>
  <c r="I17" i="13" s="1"/>
  <c r="K17" i="13" s="1"/>
  <c r="M17" i="13"/>
  <c r="E18" i="13"/>
  <c r="F18" i="13"/>
  <c r="G18" i="13"/>
  <c r="I18" i="13"/>
  <c r="K18" i="13" s="1"/>
  <c r="M18" i="13"/>
  <c r="E19" i="13"/>
  <c r="F19" i="13" s="1"/>
  <c r="G19" i="13" s="1"/>
  <c r="I19" i="13" s="1"/>
  <c r="K19" i="13"/>
  <c r="M19" i="13"/>
  <c r="E20" i="13"/>
  <c r="F20" i="13"/>
  <c r="G20" i="13" s="1"/>
  <c r="I20" i="13" s="1"/>
  <c r="K20" i="13" s="1"/>
  <c r="M20" i="13"/>
  <c r="E21" i="13"/>
  <c r="F21" i="13"/>
  <c r="G21" i="13"/>
  <c r="I21" i="13" s="1"/>
  <c r="K21" i="13" s="1"/>
  <c r="M21" i="13"/>
  <c r="E22" i="13"/>
  <c r="F22" i="13"/>
  <c r="G22" i="13"/>
  <c r="I22" i="13"/>
  <c r="K22" i="13" s="1"/>
  <c r="M22" i="13"/>
  <c r="E23" i="13"/>
  <c r="F23" i="13" s="1"/>
  <c r="G23" i="13" s="1"/>
  <c r="I23" i="13" s="1"/>
  <c r="K23" i="13"/>
  <c r="M23" i="13"/>
  <c r="E24" i="13"/>
  <c r="F24" i="13"/>
  <c r="G24" i="13" s="1"/>
  <c r="I24" i="13" s="1"/>
  <c r="K24" i="13" s="1"/>
  <c r="M24" i="13"/>
  <c r="E25" i="13"/>
  <c r="F25" i="13"/>
  <c r="G25" i="13"/>
  <c r="I25" i="13" s="1"/>
  <c r="K25" i="13" s="1"/>
  <c r="M25" i="13"/>
  <c r="C26" i="13"/>
  <c r="E26" i="13" s="1"/>
  <c r="F26" i="13" s="1"/>
  <c r="D26" i="13"/>
  <c r="M26" i="13"/>
  <c r="M29" i="13"/>
  <c r="E30" i="13"/>
  <c r="F30" i="13" s="1"/>
  <c r="M30" i="13"/>
  <c r="E31" i="13"/>
  <c r="F31" i="13"/>
  <c r="G31" i="13"/>
  <c r="I31" i="13" s="1"/>
  <c r="K31" i="13" s="1"/>
  <c r="M31" i="13"/>
  <c r="E32" i="13"/>
  <c r="F32" i="13" s="1"/>
  <c r="G32" i="13" s="1"/>
  <c r="I32" i="13" s="1"/>
  <c r="K32" i="13"/>
  <c r="M32" i="13"/>
  <c r="E33" i="13"/>
  <c r="F33" i="13"/>
  <c r="G33" i="13"/>
  <c r="I33" i="13" s="1"/>
  <c r="K33" i="13" s="1"/>
  <c r="M33" i="13"/>
  <c r="E34" i="13"/>
  <c r="F34" i="13" s="1"/>
  <c r="G34" i="13" s="1"/>
  <c r="I34" i="13" s="1"/>
  <c r="K34" i="13" s="1"/>
  <c r="M34" i="13"/>
  <c r="E35" i="13"/>
  <c r="F35" i="13"/>
  <c r="G35" i="13"/>
  <c r="I35" i="13" s="1"/>
  <c r="K35" i="13" s="1"/>
  <c r="M35" i="13"/>
  <c r="E36" i="13"/>
  <c r="F36" i="13" s="1"/>
  <c r="G36" i="13" s="1"/>
  <c r="I36" i="13" s="1"/>
  <c r="K36" i="13"/>
  <c r="M36" i="13"/>
  <c r="E37" i="13"/>
  <c r="F37" i="13"/>
  <c r="G37" i="13"/>
  <c r="I37" i="13" s="1"/>
  <c r="K37" i="13" s="1"/>
  <c r="M37" i="13"/>
  <c r="C38" i="13"/>
  <c r="E38" i="13" s="1"/>
  <c r="D38" i="13"/>
  <c r="T11" i="15" l="1"/>
  <c r="V11" i="15" s="1"/>
  <c r="T14" i="15"/>
  <c r="V14" i="15" s="1"/>
  <c r="T18" i="15"/>
  <c r="V18" i="15" s="1"/>
  <c r="T23" i="15"/>
  <c r="V23" i="15" s="1"/>
  <c r="T29" i="15"/>
  <c r="V29" i="15" s="1"/>
  <c r="T32" i="15"/>
  <c r="V32" i="15" s="1"/>
  <c r="T30" i="15"/>
  <c r="V30" i="15" s="1"/>
  <c r="T9" i="15"/>
  <c r="V9" i="15" s="1"/>
  <c r="T13" i="15"/>
  <c r="V13" i="15" s="1"/>
  <c r="T17" i="15"/>
  <c r="V17" i="15" s="1"/>
  <c r="T21" i="15"/>
  <c r="T24" i="15"/>
  <c r="V24" i="15" s="1"/>
  <c r="S33" i="15"/>
  <c r="T31" i="15"/>
  <c r="V31" i="15" s="1"/>
  <c r="T5" i="15"/>
  <c r="V5" i="15" s="1"/>
  <c r="T7" i="15"/>
  <c r="V7" i="15" s="1"/>
  <c r="T10" i="15"/>
  <c r="V10" i="15" s="1"/>
  <c r="T19" i="15"/>
  <c r="V19" i="15" s="1"/>
  <c r="T22" i="15"/>
  <c r="T8" i="15"/>
  <c r="V8" i="15" s="1"/>
  <c r="T31" i="14"/>
  <c r="T24" i="14"/>
  <c r="T21" i="14"/>
  <c r="T15" i="14"/>
  <c r="T8" i="14"/>
  <c r="T5" i="14"/>
  <c r="T13" i="14"/>
  <c r="T25" i="14"/>
  <c r="T9" i="14"/>
  <c r="R32" i="14"/>
  <c r="T16" i="15"/>
  <c r="V16" i="15" s="1"/>
  <c r="T26" i="15"/>
  <c r="T4" i="15"/>
  <c r="T15" i="15"/>
  <c r="V15" i="15" s="1"/>
  <c r="T25" i="15"/>
  <c r="V25" i="15" s="1"/>
  <c r="T12" i="15"/>
  <c r="V12" i="15" s="1"/>
  <c r="T20" i="15"/>
  <c r="T27" i="15"/>
  <c r="V27" i="15" s="1"/>
  <c r="S32" i="14"/>
  <c r="T32" i="14" s="1"/>
  <c r="K26" i="13"/>
  <c r="G26" i="13"/>
  <c r="G30" i="13"/>
  <c r="F38" i="13"/>
  <c r="T33" i="15" l="1"/>
  <c r="V4" i="15"/>
  <c r="I30" i="13"/>
  <c r="K30" i="13" s="1"/>
  <c r="K38" i="13" s="1"/>
  <c r="G38" i="13"/>
  <c r="V33" i="15" l="1"/>
  <c r="G7" i="8"/>
  <c r="G8" i="8"/>
  <c r="G9" i="8"/>
  <c r="G10" i="8"/>
  <c r="G11" i="8"/>
  <c r="G12" i="8"/>
  <c r="G13" i="8"/>
  <c r="G14" i="8"/>
  <c r="G15" i="8"/>
  <c r="G16" i="8"/>
  <c r="G17" i="8"/>
  <c r="G18" i="8"/>
  <c r="G19" i="8"/>
  <c r="G20" i="8"/>
  <c r="G21" i="8"/>
  <c r="G22" i="8"/>
  <c r="G23" i="8"/>
  <c r="G24" i="8"/>
  <c r="G25" i="8"/>
  <c r="G26" i="8"/>
  <c r="G27" i="8"/>
  <c r="G6" i="8"/>
  <c r="J34" i="1" l="1"/>
  <c r="F23" i="8"/>
  <c r="H23" i="8" s="1"/>
  <c r="E7" i="2" l="1"/>
  <c r="E7" i="1"/>
  <c r="A5" i="12" l="1"/>
  <c r="A6" i="12" s="1"/>
  <c r="A7" i="12" s="1"/>
  <c r="A8" i="12" s="1"/>
  <c r="A9" i="12" s="1"/>
  <c r="A10" i="12" s="1"/>
  <c r="A11" i="12" s="1"/>
  <c r="A12" i="12" s="1"/>
  <c r="A13" i="12" s="1"/>
  <c r="A14" i="12" s="1"/>
  <c r="A15" i="12" s="1"/>
  <c r="A16" i="12" s="1"/>
  <c r="A17" i="12" s="1"/>
  <c r="A18" i="12" s="1"/>
  <c r="A19" i="12" s="1"/>
  <c r="A20" i="12" s="1"/>
  <c r="A21" i="12" s="1"/>
  <c r="J7" i="4" l="1"/>
  <c r="J8" i="4"/>
  <c r="J9" i="4"/>
  <c r="J10" i="4"/>
  <c r="J11" i="4"/>
  <c r="J12" i="4"/>
  <c r="J13" i="4"/>
  <c r="J14" i="4"/>
  <c r="J15" i="4"/>
  <c r="J16" i="4"/>
  <c r="J17" i="4"/>
  <c r="J18" i="4"/>
  <c r="J19" i="4"/>
  <c r="J20" i="4"/>
  <c r="J21" i="4"/>
  <c r="J22" i="4"/>
  <c r="J23" i="4"/>
  <c r="J24" i="4"/>
  <c r="J25" i="4"/>
  <c r="J27" i="4"/>
  <c r="J28" i="4"/>
  <c r="J29" i="4"/>
  <c r="J30" i="4"/>
  <c r="J31" i="4"/>
  <c r="J32" i="4"/>
  <c r="J33" i="4"/>
  <c r="J34" i="4"/>
  <c r="J6" i="4"/>
  <c r="I30" i="7" l="1"/>
  <c r="I31" i="7"/>
  <c r="I32" i="7"/>
  <c r="I33" i="7"/>
  <c r="I34" i="7"/>
  <c r="I35" i="7"/>
  <c r="I36" i="7"/>
  <c r="I37" i="7"/>
  <c r="I29" i="7"/>
  <c r="H30" i="7"/>
  <c r="H31" i="7"/>
  <c r="H32" i="7"/>
  <c r="H33" i="7"/>
  <c r="H34" i="7"/>
  <c r="H35" i="7"/>
  <c r="H36" i="7"/>
  <c r="H37" i="7"/>
  <c r="H29" i="7"/>
  <c r="I4" i="7"/>
  <c r="I5" i="7"/>
  <c r="I6" i="7"/>
  <c r="I7" i="7"/>
  <c r="I8" i="7"/>
  <c r="I9" i="7"/>
  <c r="I10" i="7"/>
  <c r="I11" i="7"/>
  <c r="I12" i="7"/>
  <c r="I13" i="7"/>
  <c r="I14" i="7"/>
  <c r="I15" i="7"/>
  <c r="I16" i="7"/>
  <c r="I17" i="7"/>
  <c r="I18" i="7"/>
  <c r="I19" i="7"/>
  <c r="I20" i="7"/>
  <c r="I21" i="7"/>
  <c r="I22" i="7"/>
  <c r="I23" i="7"/>
  <c r="I24" i="7"/>
  <c r="I3" i="7"/>
  <c r="H4" i="7"/>
  <c r="H5" i="7"/>
  <c r="H6" i="7"/>
  <c r="H7" i="7"/>
  <c r="H8" i="7"/>
  <c r="H9" i="7"/>
  <c r="H10" i="7"/>
  <c r="H11" i="7"/>
  <c r="H12" i="7"/>
  <c r="H13" i="7"/>
  <c r="H14" i="7"/>
  <c r="H15" i="7"/>
  <c r="H16" i="7"/>
  <c r="H17" i="7"/>
  <c r="H18" i="7"/>
  <c r="H19" i="7"/>
  <c r="H20" i="7"/>
  <c r="H21" i="7"/>
  <c r="H22" i="7"/>
  <c r="H23" i="7"/>
  <c r="H24" i="7"/>
  <c r="H3" i="7"/>
  <c r="J7" i="3"/>
  <c r="J8" i="3"/>
  <c r="J9" i="3"/>
  <c r="J10" i="3"/>
  <c r="J11" i="3"/>
  <c r="J12" i="3"/>
  <c r="J13" i="3"/>
  <c r="J14" i="3"/>
  <c r="J15" i="3"/>
  <c r="J16" i="3"/>
  <c r="J18" i="3"/>
  <c r="J19" i="3"/>
  <c r="J20" i="3"/>
  <c r="J21" i="3"/>
  <c r="J22" i="3"/>
  <c r="J23" i="3"/>
  <c r="J24" i="3"/>
  <c r="J25" i="3"/>
  <c r="J26" i="3"/>
  <c r="J27" i="3"/>
  <c r="J28" i="3"/>
  <c r="J29" i="3"/>
  <c r="J30" i="3"/>
  <c r="J31" i="3"/>
  <c r="J32" i="3"/>
  <c r="J33" i="3"/>
  <c r="J34" i="3"/>
  <c r="J6" i="3"/>
  <c r="J7" i="2"/>
  <c r="J8" i="2"/>
  <c r="J9" i="2"/>
  <c r="J10" i="2"/>
  <c r="J11" i="2"/>
  <c r="J12" i="2"/>
  <c r="J13" i="2"/>
  <c r="J14" i="2"/>
  <c r="J15" i="2"/>
  <c r="J16" i="2"/>
  <c r="J18" i="2"/>
  <c r="J19" i="2"/>
  <c r="J20" i="2"/>
  <c r="J21" i="2"/>
  <c r="J22" i="2"/>
  <c r="J23" i="2"/>
  <c r="J24" i="2"/>
  <c r="J25" i="2"/>
  <c r="J26" i="2"/>
  <c r="J27" i="2"/>
  <c r="J28" i="2"/>
  <c r="J29" i="2"/>
  <c r="J30" i="2"/>
  <c r="J31" i="2"/>
  <c r="J32" i="2"/>
  <c r="J33" i="2"/>
  <c r="J34" i="2"/>
  <c r="J6" i="2"/>
  <c r="E11" i="1" l="1"/>
  <c r="E7" i="4"/>
  <c r="J7" i="1"/>
  <c r="J9" i="1"/>
  <c r="J10" i="1"/>
  <c r="J11" i="1"/>
  <c r="J13" i="1"/>
  <c r="J14" i="1"/>
  <c r="J15" i="1"/>
  <c r="J20" i="1"/>
  <c r="J21" i="1"/>
  <c r="J24" i="1"/>
  <c r="J31" i="1"/>
  <c r="J32" i="1"/>
  <c r="J33" i="1"/>
  <c r="J6" i="1"/>
  <c r="E26" i="4"/>
  <c r="J26" i="4" s="1"/>
  <c r="E26" i="3"/>
  <c r="E26" i="2"/>
  <c r="E26" i="1"/>
  <c r="E37" i="7" l="1"/>
  <c r="D37" i="7"/>
  <c r="C37" i="7"/>
  <c r="G36" i="7"/>
  <c r="F36" i="7"/>
  <c r="G35" i="7"/>
  <c r="F35" i="7"/>
  <c r="G34" i="7"/>
  <c r="F34" i="7"/>
  <c r="G33" i="7"/>
  <c r="F33" i="7"/>
  <c r="G32" i="7"/>
  <c r="F32" i="7"/>
  <c r="G31" i="7"/>
  <c r="F31" i="7"/>
  <c r="G30" i="7"/>
  <c r="G37" i="7" s="1"/>
  <c r="F30" i="7"/>
  <c r="F37" i="7" s="1"/>
  <c r="G29" i="7"/>
  <c r="F29" i="7"/>
  <c r="E24" i="7"/>
  <c r="D24" i="7"/>
  <c r="C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F24" i="7" l="1"/>
  <c r="G24" i="7"/>
  <c r="F32" i="9" l="1"/>
  <c r="F33" i="9"/>
  <c r="F34" i="9"/>
  <c r="F35" i="9"/>
  <c r="F36" i="9"/>
  <c r="F37" i="9"/>
  <c r="F38" i="9"/>
  <c r="F39" i="9"/>
  <c r="F31" i="9"/>
  <c r="F8" i="9"/>
  <c r="F9" i="9"/>
  <c r="F10" i="9"/>
  <c r="F11" i="9"/>
  <c r="F12" i="9"/>
  <c r="F13" i="9"/>
  <c r="F14" i="9"/>
  <c r="F15" i="9"/>
  <c r="F16" i="9"/>
  <c r="F17" i="9"/>
  <c r="F18" i="9"/>
  <c r="F19" i="9"/>
  <c r="F20" i="9"/>
  <c r="F21" i="9"/>
  <c r="F22" i="9"/>
  <c r="F23" i="9"/>
  <c r="F25" i="9"/>
  <c r="F26" i="9"/>
  <c r="F27" i="9"/>
  <c r="E23" i="1"/>
  <c r="J23" i="1" s="1"/>
  <c r="H30" i="6" l="1"/>
  <c r="H31" i="6"/>
  <c r="H32" i="6"/>
  <c r="H33" i="6"/>
  <c r="H34" i="6"/>
  <c r="H35" i="6"/>
  <c r="H36" i="6"/>
  <c r="H37" i="6"/>
  <c r="H29" i="6"/>
  <c r="G30" i="6"/>
  <c r="G31" i="6"/>
  <c r="G32" i="6"/>
  <c r="G33" i="6"/>
  <c r="G34" i="6"/>
  <c r="G35" i="6"/>
  <c r="G36" i="6"/>
  <c r="G37" i="6"/>
  <c r="G29" i="6"/>
  <c r="E30" i="6"/>
  <c r="E31" i="6"/>
  <c r="E32" i="6"/>
  <c r="E33" i="6"/>
  <c r="E34" i="6"/>
  <c r="E35" i="6"/>
  <c r="E36" i="6"/>
  <c r="E37" i="6"/>
  <c r="E29" i="6"/>
  <c r="D30" i="6"/>
  <c r="D31" i="6"/>
  <c r="D32" i="6"/>
  <c r="D33" i="6"/>
  <c r="D34" i="6"/>
  <c r="D35" i="6"/>
  <c r="D36" i="6"/>
  <c r="D37" i="6"/>
  <c r="D29" i="6"/>
  <c r="G6" i="6"/>
  <c r="G7" i="6"/>
  <c r="G8" i="6"/>
  <c r="G9" i="6"/>
  <c r="G10" i="6"/>
  <c r="G11" i="6"/>
  <c r="G12" i="6"/>
  <c r="G13" i="6"/>
  <c r="G14" i="6"/>
  <c r="G15" i="6"/>
  <c r="G16" i="6"/>
  <c r="G17" i="6"/>
  <c r="G18" i="6"/>
  <c r="G19" i="6"/>
  <c r="G20" i="6"/>
  <c r="G21" i="6"/>
  <c r="G22" i="6"/>
  <c r="G23" i="6"/>
  <c r="G24" i="6"/>
  <c r="G25" i="6"/>
  <c r="G26" i="6"/>
  <c r="G5" i="6"/>
  <c r="E6" i="6"/>
  <c r="E7" i="6"/>
  <c r="E8" i="6"/>
  <c r="E9" i="6"/>
  <c r="E10" i="6"/>
  <c r="E11" i="6"/>
  <c r="E12" i="6"/>
  <c r="E13" i="6"/>
  <c r="E14" i="6"/>
  <c r="E15" i="6"/>
  <c r="E16" i="6"/>
  <c r="E17" i="6"/>
  <c r="E18" i="6"/>
  <c r="E19" i="6"/>
  <c r="E20" i="6"/>
  <c r="E21" i="6"/>
  <c r="E22" i="6"/>
  <c r="E23" i="6"/>
  <c r="E24" i="6"/>
  <c r="E25" i="6"/>
  <c r="E26" i="6"/>
  <c r="E5" i="6"/>
  <c r="D6" i="6"/>
  <c r="D7" i="6"/>
  <c r="D8" i="6"/>
  <c r="D9" i="6"/>
  <c r="D10" i="6"/>
  <c r="D11" i="6"/>
  <c r="D12" i="6"/>
  <c r="D13" i="6"/>
  <c r="D14" i="6"/>
  <c r="D15" i="6"/>
  <c r="D16" i="6"/>
  <c r="D17" i="6"/>
  <c r="D18" i="6"/>
  <c r="D19" i="6"/>
  <c r="D20" i="6"/>
  <c r="D21" i="6"/>
  <c r="D22" i="6"/>
  <c r="D23" i="6"/>
  <c r="D24" i="6"/>
  <c r="D25" i="6"/>
  <c r="D26" i="6"/>
  <c r="D5" i="6"/>
  <c r="G31" i="5"/>
  <c r="G32" i="5"/>
  <c r="G35" i="5"/>
  <c r="G36" i="5"/>
  <c r="F30" i="5"/>
  <c r="G30" i="5" s="1"/>
  <c r="F31" i="5"/>
  <c r="F32" i="5"/>
  <c r="F33" i="5"/>
  <c r="G33" i="5" s="1"/>
  <c r="F34" i="5"/>
  <c r="G34" i="5" s="1"/>
  <c r="F35" i="5"/>
  <c r="F36" i="5"/>
  <c r="F29" i="5"/>
  <c r="G29" i="5" s="1"/>
  <c r="E37" i="5"/>
  <c r="G9" i="5"/>
  <c r="G10" i="5"/>
  <c r="G13" i="5"/>
  <c r="G14" i="5"/>
  <c r="G17" i="5"/>
  <c r="G18" i="5"/>
  <c r="G21" i="5"/>
  <c r="G22" i="5"/>
  <c r="G25" i="5"/>
  <c r="G26" i="5"/>
  <c r="F7" i="5"/>
  <c r="G7" i="5" s="1"/>
  <c r="F8" i="5"/>
  <c r="G8" i="5" s="1"/>
  <c r="F9" i="5"/>
  <c r="F10" i="5"/>
  <c r="F11" i="5"/>
  <c r="G11" i="5" s="1"/>
  <c r="F12" i="5"/>
  <c r="G12" i="5" s="1"/>
  <c r="F13" i="5"/>
  <c r="F14" i="5"/>
  <c r="F15" i="5"/>
  <c r="G15" i="5" s="1"/>
  <c r="F16" i="5"/>
  <c r="G16" i="5" s="1"/>
  <c r="F17" i="5"/>
  <c r="F18" i="5"/>
  <c r="F19" i="5"/>
  <c r="G19" i="5" s="1"/>
  <c r="F20" i="5"/>
  <c r="G20" i="5" s="1"/>
  <c r="F21" i="5"/>
  <c r="F22" i="5"/>
  <c r="F23" i="5"/>
  <c r="G23" i="5" s="1"/>
  <c r="F24" i="5"/>
  <c r="G24" i="5" s="1"/>
  <c r="F25" i="5"/>
  <c r="F26" i="5"/>
  <c r="F6" i="5"/>
  <c r="G6" i="5" s="1"/>
  <c r="F37" i="5" l="1"/>
  <c r="G37" i="5" s="1"/>
  <c r="E27" i="5" l="1"/>
  <c r="F27" i="5" s="1"/>
  <c r="G27" i="5" s="1"/>
  <c r="D27" i="5"/>
  <c r="C27" i="5"/>
  <c r="D39" i="9" l="1"/>
  <c r="E39" i="9" s="1"/>
  <c r="E38" i="9"/>
  <c r="E37" i="9"/>
  <c r="E36" i="9"/>
  <c r="E35" i="9"/>
  <c r="E34" i="9"/>
  <c r="E33" i="9"/>
  <c r="E32" i="9"/>
  <c r="E31" i="9"/>
  <c r="D28" i="9"/>
  <c r="E28" i="9" s="1"/>
  <c r="F28" i="9" s="1"/>
  <c r="E27" i="9"/>
  <c r="E26" i="9"/>
  <c r="E25" i="9"/>
  <c r="E24" i="9"/>
  <c r="F24" i="9" s="1"/>
  <c r="E23" i="9"/>
  <c r="E22" i="9"/>
  <c r="E21" i="9"/>
  <c r="E20" i="9"/>
  <c r="E19" i="9"/>
  <c r="E18" i="9"/>
  <c r="E17" i="9"/>
  <c r="E16" i="9"/>
  <c r="E15" i="9"/>
  <c r="E14" i="9"/>
  <c r="E13" i="9"/>
  <c r="E12" i="9"/>
  <c r="E11" i="9"/>
  <c r="E10" i="9"/>
  <c r="E9" i="9"/>
  <c r="A9" i="9"/>
  <c r="A10" i="9" s="1"/>
  <c r="A11" i="9" s="1"/>
  <c r="A12" i="9" s="1"/>
  <c r="A13" i="9" s="1"/>
  <c r="A14" i="9" s="1"/>
  <c r="A15" i="9" s="1"/>
  <c r="A16" i="9" s="1"/>
  <c r="A17" i="9" s="1"/>
  <c r="A18" i="9" s="1"/>
  <c r="A19" i="9" s="1"/>
  <c r="A20" i="9" s="1"/>
  <c r="A21" i="9" s="1"/>
  <c r="A22" i="9" s="1"/>
  <c r="A23" i="9" s="1"/>
  <c r="A24" i="9" s="1"/>
  <c r="A25" i="9" s="1"/>
  <c r="A26" i="9" s="1"/>
  <c r="A27" i="9" s="1"/>
  <c r="E8" i="9"/>
  <c r="A8" i="9"/>
  <c r="E7" i="9"/>
  <c r="F7" i="9" s="1"/>
  <c r="J4" i="9"/>
  <c r="F40" i="8"/>
  <c r="G40" i="8" s="1"/>
  <c r="H40" i="8" s="1"/>
  <c r="F39" i="8"/>
  <c r="G39" i="8" s="1"/>
  <c r="H39" i="8" s="1"/>
  <c r="F38" i="8"/>
  <c r="G38" i="8" s="1"/>
  <c r="H38" i="8" s="1"/>
  <c r="F37" i="8"/>
  <c r="G37" i="8" s="1"/>
  <c r="H37" i="8" s="1"/>
  <c r="F36" i="8"/>
  <c r="G36" i="8" s="1"/>
  <c r="H36" i="8" s="1"/>
  <c r="F35" i="8"/>
  <c r="G35" i="8" s="1"/>
  <c r="H35" i="8" s="1"/>
  <c r="F34" i="8"/>
  <c r="G34" i="8" s="1"/>
  <c r="H34" i="8" s="1"/>
  <c r="F33" i="8"/>
  <c r="F41" i="8" s="1"/>
  <c r="G41" i="8" s="1"/>
  <c r="H41" i="8" s="1"/>
  <c r="E27" i="8"/>
  <c r="D27" i="8"/>
  <c r="F26" i="8"/>
  <c r="H26" i="8" s="1"/>
  <c r="F25" i="8"/>
  <c r="H25" i="8" s="1"/>
  <c r="F24" i="8"/>
  <c r="H24" i="8" s="1"/>
  <c r="F22" i="8"/>
  <c r="H22" i="8" s="1"/>
  <c r="F21" i="8"/>
  <c r="H21" i="8" s="1"/>
  <c r="F20" i="8"/>
  <c r="H20" i="8" s="1"/>
  <c r="F19" i="8"/>
  <c r="H19" i="8" s="1"/>
  <c r="F18" i="8"/>
  <c r="H18" i="8" s="1"/>
  <c r="F17" i="8"/>
  <c r="H17" i="8" s="1"/>
  <c r="F16" i="8"/>
  <c r="H16" i="8" s="1"/>
  <c r="F15" i="8"/>
  <c r="H15" i="8" s="1"/>
  <c r="F14" i="8"/>
  <c r="H14" i="8" s="1"/>
  <c r="F13" i="8"/>
  <c r="H13" i="8" s="1"/>
  <c r="F12" i="8"/>
  <c r="H12" i="8" s="1"/>
  <c r="F11" i="8"/>
  <c r="H11" i="8" s="1"/>
  <c r="F10" i="8"/>
  <c r="H10" i="8" s="1"/>
  <c r="F9" i="8"/>
  <c r="H9" i="8" s="1"/>
  <c r="F8" i="8"/>
  <c r="H8" i="8" s="1"/>
  <c r="F7" i="8"/>
  <c r="H7" i="8" s="1"/>
  <c r="B7" i="8"/>
  <c r="B9" i="8" s="1"/>
  <c r="B10" i="8" s="1"/>
  <c r="B11" i="8" s="1"/>
  <c r="B12" i="8" s="1"/>
  <c r="B13" i="8" s="1"/>
  <c r="B14" i="8" s="1"/>
  <c r="B15" i="8" s="1"/>
  <c r="B16" i="8" s="1"/>
  <c r="B17" i="8" s="1"/>
  <c r="B18" i="8" s="1"/>
  <c r="B19" i="8" s="1"/>
  <c r="B20" i="8" s="1"/>
  <c r="B21" i="8" s="1"/>
  <c r="B22" i="8" s="1"/>
  <c r="B23" i="8" s="1"/>
  <c r="B24" i="8" s="1"/>
  <c r="B25" i="8" s="1"/>
  <c r="F6" i="8"/>
  <c r="F27" i="8" s="1"/>
  <c r="H27" i="8" s="1"/>
  <c r="H6" i="8" l="1"/>
  <c r="G33" i="8"/>
  <c r="H33" i="8" s="1"/>
  <c r="E27" i="4" l="1"/>
  <c r="E27" i="3"/>
  <c r="E27" i="2"/>
  <c r="E27" i="1"/>
  <c r="E23" i="4"/>
  <c r="E23" i="2"/>
  <c r="E23" i="3"/>
  <c r="E30" i="1"/>
  <c r="J30" i="1" s="1"/>
  <c r="E30" i="3"/>
  <c r="E30" i="2"/>
  <c r="E30" i="4"/>
  <c r="E17" i="4"/>
  <c r="E17" i="3"/>
  <c r="E17" i="2"/>
  <c r="E17" i="1"/>
  <c r="E16" i="4"/>
  <c r="E16" i="3"/>
  <c r="E16" i="2"/>
  <c r="E16" i="1"/>
  <c r="J16" i="1" s="1"/>
  <c r="E18" i="4"/>
  <c r="E18" i="3"/>
  <c r="E18" i="2"/>
  <c r="E18" i="1"/>
  <c r="J18" i="1" s="1"/>
  <c r="E19" i="1"/>
  <c r="J19" i="1" s="1"/>
  <c r="E8" i="4"/>
  <c r="E8" i="3"/>
  <c r="E8" i="2"/>
  <c r="E8" i="1"/>
  <c r="J8" i="1" s="1"/>
  <c r="E12" i="4"/>
  <c r="E12" i="3"/>
  <c r="E12" i="2"/>
  <c r="E12" i="1"/>
  <c r="J12" i="1" s="1"/>
  <c r="E7" i="3"/>
  <c r="E22" i="3"/>
  <c r="E22" i="1"/>
  <c r="J22" i="1" s="1"/>
  <c r="E22" i="4"/>
  <c r="E22" i="2"/>
</calcChain>
</file>

<file path=xl/comments1.xml><?xml version="1.0" encoding="utf-8"?>
<comments xmlns="http://schemas.openxmlformats.org/spreadsheetml/2006/main">
  <authors>
    <author>Author</author>
  </authors>
  <commentList>
    <comment ref="M2" authorId="0">
      <text>
        <r>
          <rPr>
            <b/>
            <sz val="9"/>
            <color indexed="81"/>
            <rFont val="Tahoma"/>
            <family val="2"/>
          </rPr>
          <t xml:space="preserve">Author:
</t>
        </r>
      </text>
    </comment>
  </commentList>
</comments>
</file>

<file path=xl/sharedStrings.xml><?xml version="1.0" encoding="utf-8"?>
<sst xmlns="http://schemas.openxmlformats.org/spreadsheetml/2006/main" count="860" uniqueCount="291">
  <si>
    <t>(Rs. in crore)</t>
  </si>
  <si>
    <t>Sl.No</t>
  </si>
  <si>
    <t>Name of the State</t>
  </si>
  <si>
    <t>Expenditure on Agriculture and Allied Sectors</t>
  </si>
  <si>
    <t xml:space="preserve">Expenditure on Minor Irrigation and Command Area Development </t>
  </si>
  <si>
    <t xml:space="preserve">Expenditure on Watershed Development </t>
  </si>
  <si>
    <t>Authenticated expenditure on Agricultural and Allied Sectors out of the funds devolved for decentralized district planning units or to the autonomous regional/sub-regional development council set by the States such as Bodoland Territorial Council in Assam; Provided these have not been included in above categories</t>
  </si>
  <si>
    <t>Expenditure Including RKVY</t>
  </si>
  <si>
    <t xml:space="preserve">Plan </t>
  </si>
  <si>
    <t>Non- Plan</t>
  </si>
  <si>
    <t xml:space="preserve">Total </t>
  </si>
  <si>
    <t>1.    </t>
  </si>
  <si>
    <t>Andhra Pradesh</t>
  </si>
  <si>
    <t>2.    </t>
  </si>
  <si>
    <t>Arunachal Pradesh</t>
  </si>
  <si>
    <t>3.    </t>
  </si>
  <si>
    <t>Assam</t>
  </si>
  <si>
    <t>4.    </t>
  </si>
  <si>
    <t>Bihar</t>
  </si>
  <si>
    <t>5.    </t>
  </si>
  <si>
    <t>Chhattisgarh</t>
  </si>
  <si>
    <t>6.    </t>
  </si>
  <si>
    <t>Goa</t>
  </si>
  <si>
    <t>7.    </t>
  </si>
  <si>
    <t>Gujarat</t>
  </si>
  <si>
    <t>8.    </t>
  </si>
  <si>
    <t>Haryana</t>
  </si>
  <si>
    <t>9.    </t>
  </si>
  <si>
    <t>Himachal Pradesh</t>
  </si>
  <si>
    <t>10.                 </t>
  </si>
  <si>
    <t>Jammu &amp; Kashmir</t>
  </si>
  <si>
    <t>11.                 </t>
  </si>
  <si>
    <t>Jharkhand</t>
  </si>
  <si>
    <t>12.                 </t>
  </si>
  <si>
    <t>Karnataka</t>
  </si>
  <si>
    <t>13.                 </t>
  </si>
  <si>
    <t>Kerala</t>
  </si>
  <si>
    <t>14.                 </t>
  </si>
  <si>
    <t>Madhya Pradesh</t>
  </si>
  <si>
    <t>15.                 </t>
  </si>
  <si>
    <t>Maharashtra</t>
  </si>
  <si>
    <t>16.                 </t>
  </si>
  <si>
    <t>Manipur</t>
  </si>
  <si>
    <t>17.                 </t>
  </si>
  <si>
    <t>Meghalaya</t>
  </si>
  <si>
    <t>18.                 </t>
  </si>
  <si>
    <t>Mizoram</t>
  </si>
  <si>
    <t>19.                 </t>
  </si>
  <si>
    <t>Nagaland</t>
  </si>
  <si>
    <t>20.                 </t>
  </si>
  <si>
    <t>Orissa</t>
  </si>
  <si>
    <t>21.                 </t>
  </si>
  <si>
    <t>Punjab</t>
  </si>
  <si>
    <t>22.                 </t>
  </si>
  <si>
    <t>Rajasthan</t>
  </si>
  <si>
    <t>23.                 </t>
  </si>
  <si>
    <t>Sikkim</t>
  </si>
  <si>
    <t>24.                 </t>
  </si>
  <si>
    <t>Tamil Nadu</t>
  </si>
  <si>
    <t>25.                 </t>
  </si>
  <si>
    <t>Telangana</t>
  </si>
  <si>
    <t>26.                 </t>
  </si>
  <si>
    <t>Tripura</t>
  </si>
  <si>
    <t>27.                 </t>
  </si>
  <si>
    <t>Uttar Pradesh</t>
  </si>
  <si>
    <t>28.                 </t>
  </si>
  <si>
    <t>Uttarakhand</t>
  </si>
  <si>
    <t>29.                 </t>
  </si>
  <si>
    <t>West Bengal</t>
  </si>
  <si>
    <t>Actual Expenditure on Animal Husbandry, dairying, Fisheries and Agri Research and Education (Plan)</t>
  </si>
  <si>
    <t>Total Expenditure on agri and allied sector including Animal Husbandry</t>
  </si>
  <si>
    <t>Total Expenditure in Agriculture and Allied Sector including Animal Husbandry sector (2014-15)</t>
  </si>
  <si>
    <t>Total Expenditure in Agriculture and Allied Sector including Animal Husbandry sector (2015-16)</t>
  </si>
  <si>
    <t>Total Expenditure in Agriculture and Allied Sector including Animal Husbandry sector (2016-17)</t>
  </si>
  <si>
    <t>Percentage of Net Irrigated Area and Net Un-Irrigated Area over Net Area Sown for the year 2014-15  (As per latest released publication)</t>
  </si>
  <si>
    <t>(Thousand Hectares)</t>
  </si>
  <si>
    <t>States/Uts</t>
  </si>
  <si>
    <t>Net Area Sown</t>
  </si>
  <si>
    <t>Net Irrigated Area</t>
  </si>
  <si>
    <t>Net Un-Irrigated Area</t>
  </si>
  <si>
    <t>ANDHRA PRADESH</t>
  </si>
  <si>
    <t>ARUNACHAL PRADESH</t>
  </si>
  <si>
    <t>ASSAM</t>
  </si>
  <si>
    <t>BIHAR</t>
  </si>
  <si>
    <t>CHHATTISGARH</t>
  </si>
  <si>
    <t>GOA</t>
  </si>
  <si>
    <t xml:space="preserve">GUJARAT </t>
  </si>
  <si>
    <t>HARYANA</t>
  </si>
  <si>
    <t>HIMACHAL  PRADESH</t>
  </si>
  <si>
    <t>JAMMU &amp; KASHMIR</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</si>
  <si>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</si>
  <si>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</si>
  <si>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</si>
  <si>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</si>
  <si>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</si>
  <si>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</si>
  <si>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</si>
  <si>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</si>
  <si>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</si>
  <si>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</si>
  <si>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</si>
  <si>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</si>
  <si>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</si>
  <si>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</si>
  <si>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</si>
  <si>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</si>
  <si>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UTTARAKHAND</t>
  </si>
  <si>
    <t>UTTAR PRADESH</t>
  </si>
  <si>
    <t>WEST BENGAL</t>
  </si>
  <si>
    <t>Note: '0' relates to the area below 500 Hectares.</t>
  </si>
  <si>
    <t>Source: Directorate of Economics &amp; Statistics, Ministry of Agriculture &amp; Farmers Welfare</t>
  </si>
  <si>
    <t xml:space="preserve">S.
 No. </t>
  </si>
  <si>
    <t xml:space="preserve">SC Population </t>
  </si>
  <si>
    <t>% of population</t>
  </si>
  <si>
    <t>ST Population</t>
  </si>
  <si>
    <t>% population</t>
  </si>
  <si>
    <t xml:space="preserve">Andhra Pradesh </t>
  </si>
  <si>
    <t xml:space="preserve">Chhatisgarh  </t>
  </si>
  <si>
    <t xml:space="preserve">Jharkhand </t>
  </si>
  <si>
    <t xml:space="preserve">Orissa </t>
  </si>
  <si>
    <t xml:space="preserve">Punjab </t>
  </si>
  <si>
    <t xml:space="preserve">Uttar Pradesh </t>
  </si>
  <si>
    <t xml:space="preserve">Uttarakhand </t>
  </si>
  <si>
    <t>NER States</t>
  </si>
  <si>
    <t xml:space="preserve">Manipur </t>
  </si>
  <si>
    <t xml:space="preserve">Meghalaya </t>
  </si>
  <si>
    <t xml:space="preserve">Mizoram </t>
  </si>
  <si>
    <t xml:space="preserve">Sikkim </t>
  </si>
  <si>
    <t xml:space="preserve">Tripura </t>
  </si>
  <si>
    <t xml:space="preserve">Note: Poulation data in respect of States except Andhra Pradesh and Telangana has been taken from Census' 2011. Data for Andhra and Telangana has been taken from their respective State Portals. </t>
  </si>
  <si>
    <t>Sl. No.</t>
  </si>
  <si>
    <t xml:space="preserve"> Mizoram</t>
  </si>
  <si>
    <t>State-wise number of operational holdings, area operated and average size of operational holdings as per Agriculture Census 2010-11</t>
  </si>
  <si>
    <t>States/UTs</t>
  </si>
  <si>
    <t>Number of operational holdings</t>
  </si>
  <si>
    <t>Marginal (below 1.00 ha.)</t>
  </si>
  <si>
    <t>Small (1.00 - 2.00 ha.)</t>
  </si>
  <si>
    <t>%</t>
  </si>
  <si>
    <t>Odisha</t>
  </si>
  <si>
    <t>Total</t>
  </si>
  <si>
    <t>Parameter- 3</t>
  </si>
  <si>
    <t xml:space="preserve"> Population of youth (15- 34 age group) in all States</t>
  </si>
  <si>
    <t>(source population census- 2011)</t>
  </si>
  <si>
    <t xml:space="preserve">Sr. No. </t>
  </si>
  <si>
    <t>Area Name</t>
  </si>
  <si>
    <t>Age-group</t>
  </si>
  <si>
    <t>Persons</t>
  </si>
  <si>
    <t>15-34</t>
  </si>
  <si>
    <t xml:space="preserve">Bihar </t>
  </si>
  <si>
    <t xml:space="preserve">Chhattisgarh </t>
  </si>
  <si>
    <t xml:space="preserve">Goa </t>
  </si>
  <si>
    <t xml:space="preserve">Gujarat </t>
  </si>
  <si>
    <t xml:space="preserve">Haryana </t>
  </si>
  <si>
    <t xml:space="preserve">Jammu &amp; Kashmir </t>
  </si>
  <si>
    <t xml:space="preserve">Karnataka </t>
  </si>
  <si>
    <t xml:space="preserve">Kerala </t>
  </si>
  <si>
    <t xml:space="preserve">Madhya Pradesh </t>
  </si>
  <si>
    <t xml:space="preserve">Maharshtra </t>
  </si>
  <si>
    <t xml:space="preserve">Odisha </t>
  </si>
  <si>
    <t xml:space="preserve">Rajasthan </t>
  </si>
  <si>
    <t xml:space="preserve">Tamil Nadu </t>
  </si>
  <si>
    <t xml:space="preserve">West Bengal </t>
  </si>
  <si>
    <t xml:space="preserve">Arunachal Pradesh </t>
  </si>
  <si>
    <t xml:space="preserve">Assam </t>
  </si>
  <si>
    <t xml:space="preserve">Nagaland </t>
  </si>
  <si>
    <t>Allocation for Parameter No. 6 on the basis of Yield gaps</t>
  </si>
  <si>
    <t>Name of the State/UT's</t>
  </si>
  <si>
    <t xml:space="preserve">FLD Yield (E)
</t>
  </si>
  <si>
    <t>Average State Yield
(C)</t>
  </si>
  <si>
    <t>Gap in yield (Q)</t>
  </si>
  <si>
    <t>Yield Gap   (E/D)</t>
  </si>
  <si>
    <t>Sum of all inverses</t>
  </si>
  <si>
    <t>Factor for distribution of Funds (State value at column G devided by sum of all inverses  (G/H)</t>
  </si>
  <si>
    <t>10% of RKVY normal allocation</t>
  </si>
  <si>
    <t>Allocation to States (column I multilplied by col.J</t>
  </si>
  <si>
    <t>Quintals/ha</t>
  </si>
  <si>
    <t>q/ha</t>
  </si>
  <si>
    <t>Quintals</t>
  </si>
  <si>
    <t>A</t>
  </si>
  <si>
    <t>B</t>
  </si>
  <si>
    <t>C</t>
  </si>
  <si>
    <t>D</t>
  </si>
  <si>
    <t>E</t>
  </si>
  <si>
    <t>F</t>
  </si>
  <si>
    <t>G</t>
  </si>
  <si>
    <t>H</t>
  </si>
  <si>
    <t>I</t>
  </si>
  <si>
    <t>J</t>
  </si>
  <si>
    <t>K</t>
  </si>
  <si>
    <t xml:space="preserve">Telangana </t>
  </si>
  <si>
    <t xml:space="preserve"> </t>
  </si>
  <si>
    <t xml:space="preserve">Since the data for states for all the foodgrain were not available, following assumptions were adoppted to calculate the allocation </t>
  </si>
  <si>
    <t>1. Since no FLD data and State data is available for Telangana which have been created after the succession of AP, the Data of AP has been taken for calculations</t>
  </si>
  <si>
    <t xml:space="preserve">% of Net unirrigated Area of a State to total unirrigated area of all States </t>
  </si>
  <si>
    <t xml:space="preserve">NER Allocation </t>
  </si>
  <si>
    <t>Sl No.</t>
  </si>
  <si>
    <t>Pro rata allocation of Rs.249.36 cr</t>
  </si>
  <si>
    <t>Pro rata allocation of Rs.544.02 cr</t>
  </si>
  <si>
    <t>Pro rata allocation of Rs.283.50 cr</t>
  </si>
  <si>
    <t>Pro rata allocation of Rs.63.38 cr</t>
  </si>
  <si>
    <t>Pro rata allocation of Rs.51.50 cr</t>
  </si>
  <si>
    <t>Allocation under SCP and TSP for the year 2018-19</t>
  </si>
  <si>
    <t xml:space="preserve">Pro-rata distribution of Rs.332.48cr (Rs. In cr) </t>
  </si>
  <si>
    <t xml:space="preserve">Pro-rata distribution of Rs.39.22cr (Rs. In cr) </t>
  </si>
  <si>
    <t>Allocation (Rs.83.12)</t>
  </si>
  <si>
    <t>Allocation (Rs.9.80)</t>
  </si>
  <si>
    <t>NER Allocation</t>
  </si>
  <si>
    <t xml:space="preserve">Mean Yield Gap(%) (National) </t>
  </si>
  <si>
    <t>GSVA</t>
  </si>
  <si>
    <t>Total GSVA</t>
  </si>
  <si>
    <t>Average</t>
  </si>
  <si>
    <t>2013-14</t>
  </si>
  <si>
    <t>2014-15</t>
  </si>
  <si>
    <t>2015-16</t>
  </si>
  <si>
    <t>Increase</t>
  </si>
  <si>
    <t xml:space="preserve">Increase </t>
  </si>
  <si>
    <t>Total Increase</t>
  </si>
  <si>
    <t>Moving Average</t>
  </si>
  <si>
    <t>2016-17</t>
  </si>
  <si>
    <t>Increase in Expenditure in Agriculture and Allied Sector (2013-14 -2016-17)</t>
  </si>
  <si>
    <t>Andhra Pradesh *</t>
  </si>
  <si>
    <t>Telengana*</t>
  </si>
  <si>
    <t>* Data for States of Andhra Pradesh and Telangana has been bifurcated as 58: 42 as per the projections made for the States  in Gazette of India</t>
  </si>
  <si>
    <t>(Rs. in cr)</t>
  </si>
  <si>
    <t>Total Expenditure in Agriculture and Allied Sector including Animal Husbandry sector (2013-14)       (Rs. in cr)</t>
  </si>
  <si>
    <t>West Bengal*</t>
  </si>
  <si>
    <t xml:space="preserve">*GSDP data at constant prices (2004-05) has been taken for West Bengal for the years 2012-13 to 2014-15 as  data with respect to GSVA is not available for the State. </t>
  </si>
  <si>
    <t>Pro rata distn of 332.48</t>
  </si>
  <si>
    <t>Allocation as per
Parameter - 1*</t>
  </si>
  <si>
    <t>Allocation as per
Parameter - 2#</t>
  </si>
  <si>
    <t>Allocation as per
Parameter - 3</t>
  </si>
  <si>
    <t>Allocation as per
Parameter - 5</t>
  </si>
  <si>
    <t>Allocation as per
Parameter - 6!</t>
  </si>
  <si>
    <t>Total Allocation
Normal RKVY</t>
  </si>
  <si>
    <t>Allocation under SCP</t>
  </si>
  <si>
    <t>Allocation under TSP</t>
  </si>
  <si>
    <t>Total allocation (Normal +SCP+TSP)</t>
  </si>
  <si>
    <t>Last year allocation</t>
  </si>
  <si>
    <t xml:space="preserve">Difference </t>
  </si>
  <si>
    <t>Unirrigated Area*</t>
  </si>
  <si>
    <t>Inverse of yield gap</t>
  </si>
  <si>
    <t>(Rs. In cr)</t>
  </si>
  <si>
    <t>UTs**</t>
  </si>
  <si>
    <t>Andaman &amp; Nicobar Islands</t>
  </si>
  <si>
    <t>Chandigarh</t>
  </si>
  <si>
    <t>D &amp; N Havelli</t>
  </si>
  <si>
    <t>Daman &amp; Diu</t>
  </si>
  <si>
    <t>Lakshdeep</t>
  </si>
  <si>
    <t xml:space="preserve">Delhi </t>
  </si>
  <si>
    <t>Puducherry</t>
  </si>
  <si>
    <t xml:space="preserve">Note </t>
  </si>
  <si>
    <t>*Data for AP and Telanagana were extracted from DES districtwise data (2013-14) on land use (LUS data) from official website of Department of ACFW</t>
  </si>
  <si>
    <t>Percentage of Small and Marginal Farmers in the State</t>
  </si>
  <si>
    <t>Moving Average of increase in Plan expenditure in agr and allied sector incl Animal Hus</t>
  </si>
  <si>
    <t>Average Gross State Value Added (GSVA) in agr and allied sector</t>
  </si>
  <si>
    <t xml:space="preserve">% of youth population in the State compared to total youth in the country </t>
  </si>
  <si>
    <t>Total Allocation under Normal RKVY as per Six Parameters (2018-19)</t>
  </si>
  <si>
    <t>Allocation (Rs.498.71 cr)</t>
  </si>
  <si>
    <t>Allocation (Rs.58.83 cr)</t>
  </si>
  <si>
    <t xml:space="preserve"># Data for AP and Telanagana were extracted from their respective DES websites. </t>
  </si>
  <si>
    <t>Allocation as per
Parameter - 4 @</t>
  </si>
  <si>
    <t xml:space="preserve">    @ As West Bengal has not started calculation of GSVA, GSDP data for the years 2012-13, 2013-14 and 2015-16 has been taken into account.</t>
  </si>
  <si>
    <t>Mean Yield</t>
  </si>
  <si>
    <t>Mean Yield Gap %</t>
  </si>
  <si>
    <t>Inverse of indivdual State yield gap to mean yield gap (1/F*66.68)</t>
  </si>
  <si>
    <t xml:space="preserve">Above Total </t>
  </si>
  <si>
    <t>State Avg yield</t>
  </si>
  <si>
    <t>State Avg Yield</t>
  </si>
  <si>
    <t>Production</t>
  </si>
  <si>
    <t xml:space="preserve">Area </t>
  </si>
  <si>
    <t>Total
Production
(B)</t>
  </si>
  <si>
    <t>Total Area (A)</t>
  </si>
  <si>
    <t xml:space="preserve">Gram </t>
  </si>
  <si>
    <t>Wheat</t>
  </si>
  <si>
    <t>Urdbean</t>
  </si>
  <si>
    <t>Moongbean</t>
  </si>
  <si>
    <t xml:space="preserve">Rice </t>
  </si>
  <si>
    <t>Normal Allocation as per Parameter - 6</t>
  </si>
  <si>
    <r>
      <t xml:space="preserve">Total FLD
Production (D)
</t>
    </r>
    <r>
      <rPr>
        <b/>
        <sz val="12"/>
        <color theme="1"/>
        <rFont val="Calibri"/>
        <family val="2"/>
      </rPr>
      <t>Ʃ=Area*FLD</t>
    </r>
  </si>
  <si>
    <t>Total Area Under Food Graines
(A)</t>
  </si>
  <si>
    <r>
      <t xml:space="preserve">FLD Yield (E)
</t>
    </r>
    <r>
      <rPr>
        <b/>
        <sz val="12"/>
        <color theme="1"/>
        <rFont val="Times New Roman"/>
        <family val="1"/>
      </rPr>
      <t>D/A</t>
    </r>
  </si>
  <si>
    <t>FLD</t>
  </si>
  <si>
    <t>Area*FLD</t>
  </si>
  <si>
    <t xml:space="preserve">All over India </t>
  </si>
  <si>
    <t>2. Since no FLD data and State data is available for Goa for the year 2016-17 , old data pertaining to previous years  has been taken for calculations</t>
  </si>
  <si>
    <t>3. The data for FLD provided by DAC for rice, wheat and select pulses which has been taken for calculation of yield gap against the State average yield.</t>
  </si>
  <si>
    <t xml:space="preserve">4. Since the data for only three States was available in NEH States, the average was taken for remaining States including Arunachal Pradesh where data was available but less than the FLD data which is an aberration. </t>
  </si>
  <si>
    <t>5. Factor=(%mean yield gap/yield gap of individual State)/total of the factors</t>
  </si>
  <si>
    <t>6. Allocation=10% of total RKVY funds*factor</t>
  </si>
  <si>
    <t>! 1. Since no FLD data and State data is available for Telangana which have been created after the succession of AP, the Data of AP has been taken for calculations</t>
  </si>
  <si>
    <t>** Allocations for Uts have been calculated on the basis of Net Sown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</si>
</sst>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
  </numFmts>
  <fonts count="41" x14ac:knownFonts="1">
    <font>
      <sz val="11"/>
      <color theme="1"/>
      <name val="Calibri"/>
      <family val="2"/>
      <scheme val="minor"/>
    </font>
    <font>
      <b/>
      <sz val="24"/>
      <color theme="1"/>
      <name val="Bookman Old Style"/>
      <family val="1"/>
    </font>
    <font>
      <sz val="14"/>
      <color theme="1"/>
      <name val="Bookman Old Style"/>
      <family val="1"/>
    </font>
    <font>
      <b/>
      <sz val="14"/>
      <color theme="1"/>
      <name val="Bookman Old Style"/>
      <family val="1"/>
    </font>
    <font>
      <b/>
      <sz val="16"/>
      <color theme="1"/>
      <name val="Bookman Old Style"/>
      <family val="1"/>
    </font>
    <font>
      <sz val="11"/>
      <color theme="1"/>
      <name val="Bookman Old Style"/>
      <family val="1"/>
    </font>
    <font>
      <sz val="16"/>
      <color theme="1"/>
      <name val="Calibri"/>
      <family val="2"/>
      <scheme val="minor"/>
    </font>
    <font>
      <b/>
      <sz val="11"/>
      <color theme="1"/>
      <name val="Calibri"/>
      <family val="2"/>
      <scheme val="minor"/>
    </font>
    <font>
      <b/>
      <sz val="12"/>
      <name val="Arial"/>
      <family val="2"/>
    </font>
    <font>
      <sz val="10"/>
      <name val="Arial"/>
      <family val="2"/>
    </font>
    <font>
      <b/>
      <sz val="10"/>
      <name val="Arial"/>
      <family val="2"/>
    </font>
    <font>
      <sz val="10"/>
      <color theme="1"/>
      <name val="Arial"/>
      <family val="2"/>
    </font>
    <font>
      <b/>
      <sz val="10"/>
      <color theme="1"/>
      <name val="Arial"/>
      <family val="2"/>
    </font>
    <font>
      <b/>
      <sz val="20"/>
      <color theme="1"/>
      <name val="Bookman Old Style"/>
      <family val="1"/>
    </font>
    <font>
      <sz val="12"/>
      <color theme="1"/>
      <name val="Arial"/>
      <family val="2"/>
    </font>
    <font>
      <sz val="12"/>
      <name val="Arial"/>
      <family val="2"/>
    </font>
    <font>
      <b/>
      <sz val="18"/>
      <name val="Times New Roman"/>
      <family val="1"/>
    </font>
    <font>
      <b/>
      <sz val="12"/>
      <color theme="1"/>
      <name val="Arial"/>
      <family val="2"/>
    </font>
    <font>
      <b/>
      <sz val="14"/>
      <color theme="1"/>
      <name val="Calibri"/>
      <family val="2"/>
      <scheme val="minor"/>
    </font>
    <font>
      <b/>
      <sz val="14"/>
      <name val="Arial"/>
      <family val="2"/>
    </font>
    <font>
      <b/>
      <sz val="16"/>
      <name val="Arial"/>
      <family val="2"/>
    </font>
    <font>
      <b/>
      <sz val="16"/>
      <color theme="1"/>
      <name val="Calibri"/>
      <family val="2"/>
      <scheme val="minor"/>
    </font>
    <font>
      <sz val="14"/>
      <color theme="1"/>
      <name val="Calibri"/>
      <family val="2"/>
      <scheme val="minor"/>
    </font>
    <font>
      <b/>
      <sz val="14"/>
      <color rgb="FF000000"/>
      <name val="Times New Roman"/>
      <family val="1"/>
    </font>
    <font>
      <sz val="14"/>
      <color theme="1"/>
      <name val="Times New Roman"/>
      <family val="1"/>
    </font>
    <font>
      <b/>
      <sz val="14"/>
      <color theme="1"/>
      <name val="Times New Roman"/>
      <family val="1"/>
    </font>
    <font>
      <sz val="14"/>
      <color rgb="FF000000"/>
      <name val="Times New Roman"/>
      <family val="1"/>
    </font>
    <font>
      <b/>
      <sz val="12"/>
      <color theme="1"/>
      <name val="Calibri"/>
      <family val="2"/>
      <scheme val="minor"/>
    </font>
    <font>
      <sz val="12"/>
      <color theme="1"/>
      <name val="Calibri"/>
      <family val="2"/>
      <scheme val="minor"/>
    </font>
    <font>
      <b/>
      <sz val="12"/>
      <color theme="1"/>
      <name val="Bookman Old Style"/>
      <family val="1"/>
    </font>
    <font>
      <sz val="12"/>
      <color theme="1"/>
      <name val="Bookman Old Style"/>
      <family val="1"/>
    </font>
    <font>
      <sz val="16"/>
      <color theme="1"/>
      <name val="Bookman Old Style"/>
      <family val="1"/>
    </font>
    <font>
      <sz val="11"/>
      <color rgb="FF3F3F76"/>
      <name val="Calibri"/>
      <family val="2"/>
      <scheme val="minor"/>
    </font>
    <font>
      <b/>
      <sz val="14"/>
      <color rgb="FF3F3F76"/>
      <name val="Bookman Old Style"/>
      <family val="1"/>
    </font>
    <font>
      <b/>
      <sz val="14"/>
      <color rgb="FF000000"/>
      <name val="Bookman Old Style"/>
      <family val="1"/>
    </font>
    <font>
      <sz val="12"/>
      <color theme="1"/>
      <name val="Times New Roman"/>
      <family val="1"/>
    </font>
    <font>
      <b/>
      <sz val="12"/>
      <color theme="1"/>
      <name val="Times New Roman"/>
      <family val="1"/>
    </font>
    <font>
      <b/>
      <sz val="11"/>
      <color theme="1"/>
      <name val="Times New Roman"/>
      <family val="1"/>
    </font>
    <font>
      <b/>
      <sz val="9"/>
      <color indexed="81"/>
      <name val="Tahoma"/>
      <family val="2"/>
    </font>
    <font>
      <b/>
      <sz val="16"/>
      <color theme="1"/>
      <name val="Times New Roman"/>
      <family val="1"/>
    </font>
    <font>
      <b/>
      <sz val="12"/>
      <color theme="1"/>
      <name val="Calibri"/>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9"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0" fontId="32" fillId="2" borderId="19" applyNumberFormat="0" applyAlignment="0" applyProtection="0"/>
    <xf numFmtId="0" fontId="9" fillId="0" borderId="0"/>
  </cellStyleXfs>
  <cellXfs count="279">
    <xf numFmtId="0" fontId="0" fillId="0" borderId="0" xfId="0"/>
    <xf numFmtId="0" fontId="5" fillId="0" borderId="0" xfId="0" applyFont="1"/>
    <xf numFmtId="0" fontId="4" fillId="0" borderId="6" xfId="0" applyFont="1" applyFill="1" applyBorder="1" applyAlignment="1">
      <alignment vertical="top"/>
    </xf>
    <xf numFmtId="0" fontId="6" fillId="0" borderId="0" xfId="0" applyFont="1"/>
    <xf numFmtId="0" fontId="0" fillId="0" borderId="0" xfId="0"/>
    <xf numFmtId="0" fontId="10" fillId="0" borderId="2" xfId="0" applyFont="1" applyBorder="1" applyAlignment="1">
      <alignment horizontal="left" vertical="center"/>
    </xf>
    <xf numFmtId="0" fontId="10" fillId="0" borderId="2" xfId="0" applyFont="1" applyBorder="1" applyAlignment="1">
      <alignment horizontal="center" vertical="center" wrapText="1"/>
    </xf>
    <xf numFmtId="0" fontId="7" fillId="0" borderId="2" xfId="0" applyFont="1" applyBorder="1" applyAlignment="1">
      <alignment horizontal="center" vertical="center" wrapText="1"/>
    </xf>
    <xf numFmtId="1" fontId="9" fillId="0" borderId="2" xfId="0" applyNumberFormat="1" applyFont="1" applyFill="1" applyBorder="1" applyAlignment="1">
      <alignment horizontal="left"/>
    </xf>
    <xf numFmtId="1" fontId="9" fillId="0" borderId="2" xfId="0" applyNumberFormat="1" applyFont="1" applyBorder="1" applyAlignment="1">
      <alignment horizontal="center" vertical="center"/>
    </xf>
    <xf numFmtId="1" fontId="11" fillId="0" borderId="2" xfId="0" applyNumberFormat="1" applyFont="1" applyBorder="1" applyAlignment="1">
      <alignment horizontal="center" vertical="center"/>
    </xf>
    <xf numFmtId="2" fontId="11" fillId="0" borderId="2" xfId="0" applyNumberFormat="1" applyFont="1" applyBorder="1" applyAlignment="1">
      <alignment horizontal="center" vertical="center"/>
    </xf>
    <xf numFmtId="1" fontId="9" fillId="0" borderId="2" xfId="0" applyNumberFormat="1" applyFont="1" applyBorder="1" applyAlignment="1">
      <alignment horizontal="left"/>
    </xf>
    <xf numFmtId="2" fontId="0" fillId="0" borderId="0" xfId="0" applyNumberFormat="1"/>
    <xf numFmtId="0" fontId="12" fillId="0" borderId="2" xfId="0" applyFont="1" applyBorder="1" applyAlignment="1">
      <alignment horizontal="center" vertical="center" wrapText="1"/>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horizontal="center"/>
    </xf>
    <xf numFmtId="0" fontId="2" fillId="0" borderId="2" xfId="0" applyFont="1" applyBorder="1" applyAlignment="1">
      <alignment vertical="top"/>
    </xf>
    <xf numFmtId="1" fontId="2" fillId="0" borderId="2" xfId="0" applyNumberFormat="1" applyFont="1" applyBorder="1" applyAlignment="1">
      <alignment vertical="top"/>
    </xf>
    <xf numFmtId="2" fontId="2" fillId="0" borderId="2" xfId="0" applyNumberFormat="1" applyFont="1" applyBorder="1" applyAlignment="1">
      <alignment vertical="top"/>
    </xf>
    <xf numFmtId="1" fontId="3" fillId="0" borderId="2" xfId="0" applyNumberFormat="1" applyFont="1" applyBorder="1" applyAlignment="1">
      <alignment horizontal="right" vertical="top"/>
    </xf>
    <xf numFmtId="2" fontId="3" fillId="0" borderId="2" xfId="0" applyNumberFormat="1" applyFont="1" applyBorder="1" applyAlignment="1">
      <alignment vertical="top"/>
    </xf>
    <xf numFmtId="2" fontId="3" fillId="0" borderId="2" xfId="0" applyNumberFormat="1" applyFont="1" applyBorder="1" applyAlignment="1">
      <alignment horizontal="right" vertical="top" wrapText="1"/>
    </xf>
    <xf numFmtId="1" fontId="2" fillId="0" borderId="2" xfId="0" applyNumberFormat="1" applyFont="1" applyBorder="1" applyAlignment="1">
      <alignment horizontal="right" vertical="top"/>
    </xf>
    <xf numFmtId="2" fontId="2" fillId="0" borderId="2" xfId="0" applyNumberFormat="1" applyFont="1" applyBorder="1" applyAlignment="1">
      <alignment horizontal="right" vertical="top"/>
    </xf>
    <xf numFmtId="1" fontId="3" fillId="0" borderId="2" xfId="0" applyNumberFormat="1" applyFont="1" applyBorder="1" applyAlignment="1">
      <alignment vertical="top"/>
    </xf>
    <xf numFmtId="0" fontId="0" fillId="0" borderId="0" xfId="0"/>
    <xf numFmtId="0" fontId="0" fillId="0" borderId="2" xfId="0" applyBorder="1"/>
    <xf numFmtId="0" fontId="14" fillId="0" borderId="2" xfId="0" applyFont="1" applyBorder="1"/>
    <xf numFmtId="0" fontId="8" fillId="0" borderId="2" xfId="0" applyFont="1" applyBorder="1" applyAlignment="1">
      <alignment horizontal="center" vertical="top" wrapText="1"/>
    </xf>
    <xf numFmtId="0" fontId="8" fillId="0" borderId="2" xfId="0" applyFont="1" applyBorder="1" applyAlignment="1">
      <alignment horizontal="center" vertical="top"/>
    </xf>
    <xf numFmtId="0" fontId="8" fillId="0" borderId="2" xfId="0" applyFont="1" applyFill="1" applyBorder="1" applyAlignment="1">
      <alignment horizontal="center" vertical="top"/>
    </xf>
    <xf numFmtId="0" fontId="8" fillId="0" borderId="2" xfId="0" applyFont="1" applyFill="1" applyBorder="1" applyAlignment="1">
      <alignment horizontal="center" vertical="top" wrapText="1"/>
    </xf>
    <xf numFmtId="0" fontId="16" fillId="0" borderId="2" xfId="0" applyFont="1" applyBorder="1" applyAlignment="1">
      <alignment horizontal="center" vertical="top"/>
    </xf>
    <xf numFmtId="0" fontId="17" fillId="0" borderId="2" xfId="0" applyFont="1" applyBorder="1" applyAlignment="1">
      <alignment horizontal="center"/>
    </xf>
    <xf numFmtId="0" fontId="14" fillId="0" borderId="2" xfId="0" applyFont="1" applyBorder="1" applyAlignment="1">
      <alignment horizontal="center"/>
    </xf>
    <xf numFmtId="0" fontId="15" fillId="0" borderId="2" xfId="0" applyFont="1" applyBorder="1" applyAlignment="1">
      <alignment horizontal="center" vertical="top"/>
    </xf>
    <xf numFmtId="0" fontId="15" fillId="0" borderId="2" xfId="0" applyFont="1" applyBorder="1" applyAlignment="1">
      <alignment horizontal="left" vertical="top"/>
    </xf>
    <xf numFmtId="2" fontId="14" fillId="0" borderId="2" xfId="0" applyNumberFormat="1" applyFont="1" applyBorder="1"/>
    <xf numFmtId="2" fontId="17" fillId="0" borderId="2" xfId="0" applyNumberFormat="1" applyFont="1" applyBorder="1"/>
    <xf numFmtId="0" fontId="8" fillId="0" borderId="2" xfId="0" applyFont="1" applyBorder="1" applyAlignment="1">
      <alignment horizontal="center" wrapText="1"/>
    </xf>
    <xf numFmtId="0" fontId="0" fillId="0" borderId="2" xfId="0" applyFill="1" applyBorder="1"/>
    <xf numFmtId="2" fontId="0" fillId="0" borderId="2" xfId="0" applyNumberFormat="1" applyBorder="1"/>
    <xf numFmtId="1" fontId="10" fillId="0" borderId="2" xfId="0" applyNumberFormat="1" applyFont="1" applyFill="1" applyBorder="1" applyAlignment="1">
      <alignment horizontal="left"/>
    </xf>
    <xf numFmtId="1" fontId="7" fillId="0" borderId="2" xfId="0" applyNumberFormat="1" applyFont="1" applyBorder="1"/>
    <xf numFmtId="2" fontId="7" fillId="0" borderId="2" xfId="0" applyNumberFormat="1" applyFont="1" applyBorder="1"/>
    <xf numFmtId="1" fontId="10" fillId="0" borderId="2" xfId="0" applyNumberFormat="1" applyFont="1" applyBorder="1" applyAlignment="1">
      <alignment horizontal="left"/>
    </xf>
    <xf numFmtId="1" fontId="10"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2" fontId="12" fillId="0" borderId="2" xfId="0" applyNumberFormat="1" applyFont="1" applyBorder="1" applyAlignment="1">
      <alignment horizontal="center" vertical="center"/>
    </xf>
    <xf numFmtId="0" fontId="22" fillId="0" borderId="2" xfId="0" applyFont="1" applyBorder="1"/>
    <xf numFmtId="0" fontId="22" fillId="0" borderId="2" xfId="0" applyFont="1" applyBorder="1" applyAlignment="1">
      <alignment horizontal="center" vertical="top"/>
    </xf>
    <xf numFmtId="0" fontId="24" fillId="0" borderId="2" xfId="0" applyFont="1" applyBorder="1"/>
    <xf numFmtId="0" fontId="23" fillId="0" borderId="2" xfId="0" applyFont="1" applyBorder="1" applyAlignment="1">
      <alignment horizontal="center" vertical="top" wrapText="1"/>
    </xf>
    <xf numFmtId="0" fontId="25" fillId="0" borderId="2" xfId="0" applyFont="1" applyBorder="1" applyAlignment="1">
      <alignment horizontal="center" vertical="top" wrapText="1"/>
    </xf>
    <xf numFmtId="0" fontId="24" fillId="0" borderId="2" xfId="0" applyFont="1" applyBorder="1" applyAlignment="1">
      <alignment horizontal="center" vertical="center"/>
    </xf>
    <xf numFmtId="0" fontId="22" fillId="0" borderId="2" xfId="0" applyFont="1" applyBorder="1" applyAlignment="1">
      <alignment wrapText="1"/>
    </xf>
    <xf numFmtId="0" fontId="23" fillId="0" borderId="2" xfId="0" applyFont="1" applyBorder="1" applyAlignment="1">
      <alignment horizontal="center" vertical="center" wrapText="1"/>
    </xf>
    <xf numFmtId="0" fontId="25" fillId="0" borderId="2" xfId="0" applyFont="1" applyBorder="1" applyAlignment="1">
      <alignment horizontal="center" vertical="center"/>
    </xf>
    <xf numFmtId="0" fontId="23" fillId="0" borderId="2" xfId="0" applyFont="1" applyFill="1" applyBorder="1" applyAlignment="1">
      <alignment horizontal="center" vertical="center" wrapText="1"/>
    </xf>
    <xf numFmtId="0" fontId="26" fillId="0" borderId="2" xfId="0" applyFont="1" applyBorder="1" applyAlignment="1">
      <alignment horizontal="center" vertical="top"/>
    </xf>
    <xf numFmtId="0" fontId="26" fillId="0" borderId="2" xfId="0" applyFont="1" applyBorder="1" applyAlignment="1">
      <alignment vertical="top"/>
    </xf>
    <xf numFmtId="0" fontId="26" fillId="0" borderId="2" xfId="0" applyFont="1" applyBorder="1" applyAlignment="1">
      <alignment horizontal="right" vertical="top"/>
    </xf>
    <xf numFmtId="0" fontId="24" fillId="0" borderId="2" xfId="0" applyFont="1" applyBorder="1" applyAlignment="1">
      <alignment vertical="top"/>
    </xf>
    <xf numFmtId="2" fontId="24" fillId="0" borderId="2" xfId="0" applyNumberFormat="1" applyFont="1" applyBorder="1"/>
    <xf numFmtId="2" fontId="22" fillId="0" borderId="2" xfId="0" applyNumberFormat="1" applyFont="1" applyBorder="1"/>
    <xf numFmtId="0" fontId="23" fillId="0" borderId="2" xfId="0" applyFont="1" applyBorder="1" applyAlignment="1">
      <alignment horizontal="center" vertical="top"/>
    </xf>
    <xf numFmtId="0" fontId="23" fillId="0" borderId="2" xfId="0" applyFont="1" applyBorder="1" applyAlignment="1">
      <alignment horizontal="right" vertical="top"/>
    </xf>
    <xf numFmtId="0" fontId="26" fillId="0" borderId="2" xfId="0" applyFont="1" applyFill="1" applyBorder="1" applyAlignment="1">
      <alignment horizontal="center" vertical="top"/>
    </xf>
    <xf numFmtId="0" fontId="24" fillId="0" borderId="2" xfId="0" applyFont="1" applyFill="1" applyBorder="1" applyAlignment="1">
      <alignment vertical="top"/>
    </xf>
    <xf numFmtId="0" fontId="27" fillId="0" borderId="12" xfId="0" applyFont="1" applyBorder="1" applyAlignment="1">
      <alignment vertical="top"/>
    </xf>
    <xf numFmtId="0" fontId="27" fillId="0" borderId="2" xfId="0" applyFont="1" applyBorder="1" applyAlignment="1">
      <alignment vertical="top" wrapText="1"/>
    </xf>
    <xf numFmtId="0" fontId="27" fillId="0" borderId="13" xfId="0" applyFont="1" applyBorder="1" applyAlignment="1">
      <alignment vertical="top" wrapText="1"/>
    </xf>
    <xf numFmtId="0" fontId="27" fillId="0" borderId="12" xfId="0" applyFont="1" applyBorder="1"/>
    <xf numFmtId="0" fontId="27" fillId="0" borderId="2" xfId="0" applyFont="1" applyBorder="1" applyAlignment="1">
      <alignment wrapText="1"/>
    </xf>
    <xf numFmtId="0" fontId="27" fillId="0" borderId="2" xfId="0" applyFont="1" applyBorder="1" applyAlignment="1">
      <alignment horizontal="center" wrapText="1"/>
    </xf>
    <xf numFmtId="0" fontId="27" fillId="0" borderId="13" xfId="0" applyFont="1" applyBorder="1" applyAlignment="1">
      <alignment wrapText="1"/>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8" fillId="0" borderId="12" xfId="0" applyFont="1" applyBorder="1" applyAlignment="1">
      <alignment vertical="top"/>
    </xf>
    <xf numFmtId="0" fontId="28" fillId="0" borderId="2" xfId="0" applyFont="1" applyBorder="1" applyAlignment="1">
      <alignment vertical="top"/>
    </xf>
    <xf numFmtId="2" fontId="28" fillId="0" borderId="2" xfId="0" applyNumberFormat="1" applyFont="1" applyBorder="1" applyAlignment="1">
      <alignment vertical="top"/>
    </xf>
    <xf numFmtId="164" fontId="28" fillId="0" borderId="2" xfId="0" applyNumberFormat="1" applyFont="1" applyBorder="1" applyAlignment="1">
      <alignment vertical="top"/>
    </xf>
    <xf numFmtId="2" fontId="27" fillId="0" borderId="13" xfId="0" applyNumberFormat="1" applyFont="1" applyBorder="1" applyAlignment="1">
      <alignment vertical="top"/>
    </xf>
    <xf numFmtId="0" fontId="28" fillId="0" borderId="14" xfId="0" applyFont="1" applyBorder="1"/>
    <xf numFmtId="0" fontId="28" fillId="0" borderId="0" xfId="0" applyFont="1" applyBorder="1"/>
    <xf numFmtId="2" fontId="28" fillId="0" borderId="0" xfId="0" applyNumberFormat="1" applyFont="1" applyBorder="1"/>
    <xf numFmtId="2" fontId="27" fillId="0" borderId="13" xfId="0" applyNumberFormat="1" applyFont="1" applyBorder="1"/>
    <xf numFmtId="165" fontId="28" fillId="0" borderId="2" xfId="0" applyNumberFormat="1" applyFont="1" applyBorder="1" applyAlignment="1">
      <alignment vertical="top"/>
    </xf>
    <xf numFmtId="0" fontId="28" fillId="0" borderId="14" xfId="0" applyFont="1" applyBorder="1" applyAlignment="1">
      <alignment vertical="top"/>
    </xf>
    <xf numFmtId="0" fontId="27" fillId="0" borderId="0" xfId="0" applyFont="1" applyBorder="1" applyAlignment="1">
      <alignment vertical="top"/>
    </xf>
    <xf numFmtId="2" fontId="27" fillId="0" borderId="2" xfId="0" applyNumberFormat="1" applyFont="1" applyBorder="1" applyAlignment="1">
      <alignment vertical="top"/>
    </xf>
    <xf numFmtId="0" fontId="27" fillId="0" borderId="2" xfId="0" applyFont="1" applyBorder="1" applyAlignment="1">
      <alignment vertical="top"/>
    </xf>
    <xf numFmtId="2" fontId="3" fillId="0" borderId="0" xfId="0" applyNumberFormat="1"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49" fontId="0" fillId="0" borderId="0" xfId="0" applyNumberFormat="1"/>
    <xf numFmtId="0" fontId="4" fillId="0" borderId="2" xfId="0" applyFont="1" applyBorder="1" applyAlignment="1">
      <alignment vertical="top"/>
    </xf>
    <xf numFmtId="0" fontId="29" fillId="0" borderId="2" xfId="0" applyFont="1" applyBorder="1" applyAlignment="1">
      <alignment vertical="top"/>
    </xf>
    <xf numFmtId="2" fontId="30" fillId="0" borderId="2" xfId="0" applyNumberFormat="1" applyFont="1" applyBorder="1" applyAlignment="1">
      <alignment vertical="top"/>
    </xf>
    <xf numFmtId="2" fontId="29" fillId="0" borderId="2" xfId="0" applyNumberFormat="1" applyFont="1" applyBorder="1" applyAlignment="1">
      <alignment vertical="top"/>
    </xf>
    <xf numFmtId="0" fontId="28" fillId="0" borderId="0" xfId="0" applyFont="1"/>
    <xf numFmtId="0" fontId="29" fillId="0" borderId="2" xfId="0" applyFont="1" applyBorder="1" applyAlignment="1">
      <alignment vertical="top" wrapText="1"/>
    </xf>
    <xf numFmtId="0" fontId="30" fillId="0" borderId="2" xfId="0" applyFont="1" applyBorder="1" applyAlignment="1">
      <alignment horizontal="right" vertical="top"/>
    </xf>
    <xf numFmtId="2" fontId="29" fillId="0" borderId="2" xfId="0" applyNumberFormat="1" applyFont="1" applyBorder="1" applyAlignment="1">
      <alignment horizontal="right" vertical="top"/>
    </xf>
    <xf numFmtId="2" fontId="30" fillId="0" borderId="2" xfId="0" applyNumberFormat="1" applyFont="1" applyBorder="1" applyAlignment="1">
      <alignment horizontal="right" vertical="top"/>
    </xf>
    <xf numFmtId="2" fontId="28" fillId="0" borderId="0" xfId="0" applyNumberFormat="1" applyFont="1"/>
    <xf numFmtId="0" fontId="30" fillId="0" borderId="0" xfId="0" applyFont="1"/>
    <xf numFmtId="0" fontId="29" fillId="0" borderId="6" xfId="0" applyFont="1" applyFill="1" applyBorder="1" applyAlignment="1">
      <alignment vertical="top"/>
    </xf>
    <xf numFmtId="0" fontId="27" fillId="0" borderId="0" xfId="0" applyFont="1"/>
    <xf numFmtId="0" fontId="3" fillId="0" borderId="2" xfId="0" applyFont="1" applyBorder="1" applyAlignment="1">
      <alignment vertical="top"/>
    </xf>
    <xf numFmtId="0" fontId="4" fillId="0" borderId="2" xfId="0" applyFont="1" applyBorder="1" applyAlignment="1">
      <alignment vertical="top"/>
    </xf>
    <xf numFmtId="0" fontId="6" fillId="0" borderId="2" xfId="0" applyFont="1" applyBorder="1"/>
    <xf numFmtId="0" fontId="4" fillId="0" borderId="2" xfId="0" applyFont="1" applyBorder="1" applyAlignment="1">
      <alignment horizontal="justify" vertical="top" wrapText="1"/>
    </xf>
    <xf numFmtId="0" fontId="4" fillId="0" borderId="2" xfId="0" applyFont="1" applyBorder="1" applyAlignment="1">
      <alignment vertical="top" wrapText="1"/>
    </xf>
    <xf numFmtId="2" fontId="31" fillId="0" borderId="2" xfId="0" applyNumberFormat="1" applyFont="1" applyBorder="1" applyAlignment="1">
      <alignment horizontal="right" vertical="top"/>
    </xf>
    <xf numFmtId="2" fontId="31" fillId="0" borderId="2" xfId="0" applyNumberFormat="1" applyFont="1" applyBorder="1" applyAlignment="1">
      <alignment vertical="top"/>
    </xf>
    <xf numFmtId="2" fontId="6" fillId="0" borderId="2" xfId="0" applyNumberFormat="1" applyFont="1" applyBorder="1"/>
    <xf numFmtId="2" fontId="31" fillId="0" borderId="2" xfId="0" applyNumberFormat="1" applyFont="1" applyFill="1" applyBorder="1" applyAlignment="1">
      <alignment horizontal="right" vertical="top"/>
    </xf>
    <xf numFmtId="2" fontId="31" fillId="0" borderId="2" xfId="0" applyNumberFormat="1" applyFont="1" applyFill="1" applyBorder="1" applyAlignment="1">
      <alignment vertical="top"/>
    </xf>
    <xf numFmtId="0" fontId="21" fillId="0" borderId="2" xfId="0" applyFont="1" applyBorder="1" applyAlignment="1">
      <alignment wrapText="1"/>
    </xf>
    <xf numFmtId="0" fontId="3" fillId="0" borderId="2" xfId="0" applyFont="1" applyBorder="1" applyAlignment="1">
      <alignment horizontal="justify" vertical="top" wrapText="1"/>
    </xf>
    <xf numFmtId="0" fontId="18" fillId="0" borderId="2" xfId="0" applyFont="1" applyBorder="1" applyAlignment="1">
      <alignment wrapText="1"/>
    </xf>
    <xf numFmtId="0" fontId="2" fillId="0" borderId="2" xfId="0" applyFont="1" applyBorder="1"/>
    <xf numFmtId="0" fontId="3" fillId="0" borderId="2" xfId="0" applyFont="1" applyFill="1" applyBorder="1" applyAlignment="1">
      <alignment vertical="top"/>
    </xf>
    <xf numFmtId="0" fontId="27" fillId="0" borderId="2" xfId="0" applyFont="1" applyBorder="1"/>
    <xf numFmtId="0" fontId="28" fillId="0" borderId="2" xfId="0" applyFont="1" applyBorder="1" applyAlignment="1">
      <alignment horizontal="center"/>
    </xf>
    <xf numFmtId="0" fontId="28" fillId="0" borderId="2" xfId="0" applyFont="1" applyBorder="1"/>
    <xf numFmtId="0" fontId="28" fillId="0" borderId="2" xfId="0" applyFont="1" applyFill="1" applyBorder="1" applyAlignment="1">
      <alignment horizontal="center"/>
    </xf>
    <xf numFmtId="0" fontId="28" fillId="0" borderId="2" xfId="0" applyFont="1" applyFill="1" applyBorder="1"/>
    <xf numFmtId="0" fontId="27" fillId="0" borderId="2" xfId="0" applyFont="1" applyBorder="1" applyAlignment="1">
      <alignment horizontal="center"/>
    </xf>
    <xf numFmtId="0" fontId="27" fillId="0" borderId="2" xfId="0" applyFont="1" applyFill="1" applyBorder="1"/>
    <xf numFmtId="2" fontId="28" fillId="0" borderId="2" xfId="0" applyNumberFormat="1" applyFont="1" applyBorder="1"/>
    <xf numFmtId="2" fontId="27" fillId="0" borderId="2" xfId="0" applyNumberFormat="1" applyFont="1" applyBorder="1"/>
    <xf numFmtId="0" fontId="3" fillId="0" borderId="2" xfId="0" applyFont="1" applyBorder="1" applyAlignment="1">
      <alignment vertical="top"/>
    </xf>
    <xf numFmtId="0" fontId="3" fillId="0" borderId="2" xfId="0" applyFont="1" applyBorder="1" applyAlignment="1">
      <alignment horizontal="center" vertical="top" wrapText="1"/>
    </xf>
    <xf numFmtId="0" fontId="3" fillId="0" borderId="2" xfId="0" applyFont="1" applyBorder="1" applyAlignment="1">
      <alignment horizontal="center" vertical="top"/>
    </xf>
    <xf numFmtId="0" fontId="2" fillId="0" borderId="2" xfId="0" applyFont="1" applyBorder="1" applyAlignment="1">
      <alignment horizontal="center" vertical="top"/>
    </xf>
    <xf numFmtId="2" fontId="33" fillId="3" borderId="2" xfId="1" applyNumberFormat="1" applyFont="1" applyFill="1" applyBorder="1" applyAlignment="1">
      <alignment vertical="top"/>
    </xf>
    <xf numFmtId="2" fontId="3" fillId="0" borderId="2" xfId="0" applyNumberFormat="1" applyFont="1" applyFill="1" applyBorder="1" applyAlignment="1">
      <alignment vertical="top"/>
    </xf>
    <xf numFmtId="2" fontId="34" fillId="0" borderId="2" xfId="0" applyNumberFormat="1" applyFont="1" applyBorder="1" applyAlignment="1">
      <alignment horizontal="right" vertical="top" wrapText="1"/>
    </xf>
    <xf numFmtId="2" fontId="3" fillId="4" borderId="2" xfId="0" applyNumberFormat="1" applyFont="1" applyFill="1" applyBorder="1" applyAlignment="1">
      <alignment vertical="top"/>
    </xf>
    <xf numFmtId="2" fontId="2" fillId="0" borderId="3" xfId="0" applyNumberFormat="1" applyFont="1" applyBorder="1" applyAlignment="1">
      <alignment vertical="top"/>
    </xf>
    <xf numFmtId="2" fontId="3" fillId="3" borderId="2" xfId="0" applyNumberFormat="1" applyFont="1" applyFill="1" applyBorder="1" applyAlignment="1">
      <alignment vertical="top"/>
    </xf>
    <xf numFmtId="2" fontId="3" fillId="0" borderId="3" xfId="0" applyNumberFormat="1" applyFont="1" applyBorder="1" applyAlignment="1">
      <alignment vertical="top"/>
    </xf>
    <xf numFmtId="0" fontId="2" fillId="0" borderId="3" xfId="0" applyFont="1" applyBorder="1" applyAlignment="1">
      <alignment vertical="top"/>
    </xf>
    <xf numFmtId="0" fontId="2" fillId="0" borderId="0" xfId="0" applyFont="1"/>
    <xf numFmtId="0" fontId="3" fillId="0" borderId="2" xfId="0" applyFont="1" applyBorder="1"/>
    <xf numFmtId="2" fontId="2" fillId="0" borderId="2" xfId="0" applyNumberFormat="1" applyFont="1" applyBorder="1"/>
    <xf numFmtId="0" fontId="2" fillId="0" borderId="3" xfId="0" applyFont="1" applyBorder="1"/>
    <xf numFmtId="0" fontId="2" fillId="0" borderId="22" xfId="0" applyFont="1" applyFill="1" applyBorder="1" applyAlignment="1">
      <alignment horizontal="center" vertical="top"/>
    </xf>
    <xf numFmtId="0" fontId="2" fillId="0" borderId="2" xfId="0" applyFont="1" applyBorder="1" applyAlignment="1">
      <alignment wrapText="1"/>
    </xf>
    <xf numFmtId="166" fontId="3" fillId="0" borderId="2" xfId="0" applyNumberFormat="1" applyFont="1" applyBorder="1"/>
    <xf numFmtId="2" fontId="18" fillId="0" borderId="2" xfId="0" applyNumberFormat="1" applyFont="1" applyBorder="1"/>
    <xf numFmtId="0" fontId="29" fillId="0" borderId="2" xfId="0" applyFont="1" applyBorder="1" applyAlignment="1">
      <alignment vertical="top" wrapText="1"/>
    </xf>
    <xf numFmtId="2" fontId="27" fillId="0" borderId="0" xfId="0" applyNumberFormat="1" applyFont="1"/>
    <xf numFmtId="0" fontId="27" fillId="0" borderId="0" xfId="0" applyFont="1" applyAlignment="1">
      <alignment wrapText="1"/>
    </xf>
    <xf numFmtId="0" fontId="27" fillId="0" borderId="2" xfId="0" applyFont="1" applyBorder="1" applyAlignment="1">
      <alignment horizontal="center" vertical="top"/>
    </xf>
    <xf numFmtId="2" fontId="0" fillId="0" borderId="0" xfId="0" applyNumberFormat="1" applyFill="1" applyBorder="1"/>
    <xf numFmtId="0" fontId="28" fillId="0" borderId="0" xfId="0" applyFont="1" applyFill="1" applyBorder="1" applyAlignment="1">
      <alignment vertical="top"/>
    </xf>
    <xf numFmtId="2" fontId="7" fillId="0" borderId="0" xfId="0" applyNumberFormat="1" applyFont="1"/>
    <xf numFmtId="2" fontId="27" fillId="0" borderId="17" xfId="0" applyNumberFormat="1" applyFont="1" applyBorder="1"/>
    <xf numFmtId="0" fontId="28" fillId="0" borderId="1" xfId="0" applyFont="1" applyBorder="1" applyAlignment="1">
      <alignment vertical="top"/>
    </xf>
    <xf numFmtId="2" fontId="28" fillId="0" borderId="1" xfId="0" applyNumberFormat="1" applyFont="1" applyBorder="1" applyAlignment="1">
      <alignment vertical="top"/>
    </xf>
    <xf numFmtId="2" fontId="27" fillId="0" borderId="0" xfId="0" applyNumberFormat="1" applyFont="1" applyBorder="1"/>
    <xf numFmtId="0" fontId="7" fillId="0" borderId="0" xfId="0" applyFont="1"/>
    <xf numFmtId="2" fontId="35" fillId="0" borderId="2" xfId="0" applyNumberFormat="1" applyFont="1" applyBorder="1" applyAlignment="1">
      <alignment vertical="top"/>
    </xf>
    <xf numFmtId="2" fontId="36" fillId="0" borderId="2" xfId="0" applyNumberFormat="1" applyFont="1" applyBorder="1" applyAlignment="1">
      <alignment vertical="top"/>
    </xf>
    <xf numFmtId="0" fontId="36" fillId="0" borderId="2" xfId="0" applyFont="1" applyBorder="1" applyAlignment="1">
      <alignment vertical="top"/>
    </xf>
    <xf numFmtId="0" fontId="36" fillId="0" borderId="2" xfId="0" applyFont="1" applyBorder="1" applyAlignment="1">
      <alignment horizontal="center" vertical="top"/>
    </xf>
    <xf numFmtId="166" fontId="35" fillId="0" borderId="2" xfId="0" applyNumberFormat="1" applyFont="1" applyBorder="1" applyAlignment="1">
      <alignment vertical="top"/>
    </xf>
    <xf numFmtId="2" fontId="35" fillId="0" borderId="6" xfId="0" applyNumberFormat="1" applyFont="1" applyFill="1" applyBorder="1" applyAlignment="1">
      <alignment vertical="top"/>
    </xf>
    <xf numFmtId="0" fontId="35" fillId="0" borderId="2" xfId="0" applyFont="1" applyBorder="1" applyAlignment="1">
      <alignment vertical="top"/>
    </xf>
    <xf numFmtId="0" fontId="35" fillId="0" borderId="2" xfId="0" applyFont="1" applyBorder="1" applyAlignment="1">
      <alignment horizontal="center" vertical="top"/>
    </xf>
    <xf numFmtId="166" fontId="35" fillId="0" borderId="6" xfId="0" applyNumberFormat="1" applyFont="1" applyFill="1" applyBorder="1" applyAlignment="1">
      <alignment vertical="top"/>
    </xf>
    <xf numFmtId="0" fontId="36" fillId="0" borderId="23" xfId="0" applyFont="1" applyBorder="1" applyAlignment="1">
      <alignment horizontal="center" vertical="top"/>
    </xf>
    <xf numFmtId="0" fontId="37" fillId="0" borderId="6" xfId="0" applyFont="1" applyFill="1" applyBorder="1" applyAlignment="1">
      <alignment horizontal="center" vertical="top"/>
    </xf>
    <xf numFmtId="0" fontId="37" fillId="0" borderId="2" xfId="0" applyFont="1" applyBorder="1" applyAlignment="1">
      <alignment horizontal="center" vertical="top"/>
    </xf>
    <xf numFmtId="0" fontId="37" fillId="0" borderId="6" xfId="0" applyFont="1" applyFill="1" applyBorder="1" applyAlignment="1">
      <alignment horizontal="center" vertical="top" wrapText="1"/>
    </xf>
    <xf numFmtId="0" fontId="36" fillId="0" borderId="24" xfId="0" applyFont="1" applyBorder="1" applyAlignment="1">
      <alignment horizontal="center" vertical="top" wrapText="1"/>
    </xf>
    <xf numFmtId="0" fontId="27" fillId="0" borderId="0" xfId="0" applyFont="1" applyBorder="1"/>
    <xf numFmtId="0" fontId="3" fillId="0" borderId="3" xfId="0" applyFont="1" applyBorder="1" applyAlignment="1">
      <alignment horizontal="center" vertical="top"/>
    </xf>
    <xf numFmtId="0" fontId="2" fillId="0" borderId="5" xfId="0" applyFont="1" applyBorder="1"/>
    <xf numFmtId="0" fontId="2" fillId="0" borderId="24" xfId="0" applyFont="1" applyBorder="1"/>
    <xf numFmtId="2" fontId="2" fillId="0" borderId="24" xfId="0" applyNumberFormat="1" applyFont="1" applyBorder="1"/>
    <xf numFmtId="0" fontId="30" fillId="0" borderId="27" xfId="0" applyFont="1" applyBorder="1"/>
    <xf numFmtId="0" fontId="30" fillId="0" borderId="13" xfId="0" applyFont="1" applyBorder="1"/>
    <xf numFmtId="0" fontId="28" fillId="0" borderId="29" xfId="0" applyFont="1" applyBorder="1"/>
    <xf numFmtId="0" fontId="28" fillId="0" borderId="8" xfId="0" applyFont="1" applyBorder="1"/>
    <xf numFmtId="0" fontId="28" fillId="0" borderId="7" xfId="0" applyFont="1" applyBorder="1"/>
    <xf numFmtId="2" fontId="2" fillId="0" borderId="6" xfId="0" applyNumberFormat="1" applyFont="1" applyFill="1" applyBorder="1" applyAlignment="1">
      <alignment vertical="top"/>
    </xf>
    <xf numFmtId="0" fontId="39" fillId="0" borderId="1" xfId="0" applyFont="1" applyBorder="1" applyAlignment="1">
      <alignment horizontal="center" vertical="center"/>
    </xf>
    <xf numFmtId="0" fontId="36" fillId="0" borderId="24" xfId="0" applyFont="1" applyBorder="1" applyAlignment="1">
      <alignment horizontal="center" vertical="top" wrapText="1"/>
    </xf>
    <xf numFmtId="0" fontId="36" fillId="0" borderId="23" xfId="0" applyFont="1" applyBorder="1" applyAlignment="1">
      <alignment horizontal="center" vertical="top" wrapText="1"/>
    </xf>
    <xf numFmtId="0" fontId="36" fillId="0" borderId="3" xfId="0" applyFont="1" applyBorder="1" applyAlignment="1">
      <alignment horizontal="center" vertical="top"/>
    </xf>
    <xf numFmtId="0" fontId="36" fillId="0" borderId="4" xfId="0" applyFont="1" applyBorder="1" applyAlignment="1">
      <alignment horizontal="center" vertical="top"/>
    </xf>
    <xf numFmtId="0" fontId="36" fillId="0" borderId="5" xfId="0" applyFont="1" applyBorder="1" applyAlignment="1">
      <alignment horizontal="center" vertical="top"/>
    </xf>
    <xf numFmtId="0" fontId="36" fillId="0" borderId="2" xfId="0" applyFont="1" applyBorder="1" applyAlignment="1">
      <alignment horizontal="center" vertical="top"/>
    </xf>
    <xf numFmtId="0" fontId="36" fillId="0" borderId="23" xfId="0" applyFont="1" applyBorder="1" applyAlignment="1">
      <alignment horizontal="center" vertical="top"/>
    </xf>
    <xf numFmtId="0" fontId="36" fillId="0" borderId="2" xfId="0" applyFont="1" applyBorder="1" applyAlignment="1">
      <alignment horizontal="center" vertical="top" wrapText="1"/>
    </xf>
    <xf numFmtId="0" fontId="21" fillId="0" borderId="2" xfId="0" applyFont="1" applyBorder="1" applyAlignment="1">
      <alignment vertical="top" wrapText="1"/>
    </xf>
    <xf numFmtId="0" fontId="21" fillId="0" borderId="2" xfId="0" applyFont="1" applyBorder="1" applyAlignment="1">
      <alignment vertical="top"/>
    </xf>
    <xf numFmtId="0" fontId="4" fillId="0" borderId="2" xfId="0" applyFont="1" applyBorder="1" applyAlignment="1">
      <alignment vertical="top" wrapText="1"/>
    </xf>
    <xf numFmtId="0" fontId="6" fillId="0" borderId="2" xfId="0" applyFont="1" applyBorder="1" applyAlignment="1">
      <alignment vertical="top" wrapText="1"/>
    </xf>
    <xf numFmtId="0" fontId="4" fillId="0" borderId="2" xfId="0" applyFont="1" applyBorder="1" applyAlignment="1">
      <alignment horizontal="justify" vertical="top" wrapText="1"/>
    </xf>
    <xf numFmtId="0" fontId="4" fillId="0" borderId="2" xfId="0" applyFont="1" applyBorder="1" applyAlignment="1">
      <alignment horizontal="center" vertical="top" wrapText="1"/>
    </xf>
    <xf numFmtId="0" fontId="6" fillId="0" borderId="2" xfId="0" applyFont="1" applyBorder="1" applyAlignment="1">
      <alignment wrapText="1"/>
    </xf>
    <xf numFmtId="0" fontId="31" fillId="0" borderId="2" xfId="0" applyFont="1" applyBorder="1" applyAlignment="1">
      <alignment horizontal="right" vertical="top"/>
    </xf>
    <xf numFmtId="0" fontId="4" fillId="0" borderId="2" xfId="0" applyFont="1" applyBorder="1" applyAlignment="1">
      <alignment vertical="top"/>
    </xf>
    <xf numFmtId="0" fontId="3" fillId="0" borderId="2" xfId="0" applyFont="1" applyBorder="1" applyAlignment="1">
      <alignment horizontal="center" vertical="top" wrapText="1"/>
    </xf>
    <xf numFmtId="0" fontId="22" fillId="0" borderId="2" xfId="0" applyFont="1" applyBorder="1" applyAlignment="1">
      <alignment wrapText="1"/>
    </xf>
    <xf numFmtId="0" fontId="2" fillId="0" borderId="2" xfId="0" applyFont="1" applyBorder="1" applyAlignment="1">
      <alignment horizontal="right" vertical="top"/>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horizontal="center" vertical="top"/>
    </xf>
    <xf numFmtId="0" fontId="9" fillId="0" borderId="2" xfId="0" applyFont="1" applyBorder="1" applyAlignment="1">
      <alignment horizontal="right" vertical="center"/>
    </xf>
    <xf numFmtId="0" fontId="19" fillId="0" borderId="2" xfId="0" applyFont="1" applyBorder="1" applyAlignment="1">
      <alignment horizontal="center" wrapText="1"/>
    </xf>
    <xf numFmtId="1" fontId="20" fillId="0" borderId="2" xfId="0" applyNumberFormat="1" applyFont="1" applyBorder="1" applyAlignment="1">
      <alignment horizontal="center" vertical="center"/>
    </xf>
    <xf numFmtId="0" fontId="21" fillId="0" borderId="2" xfId="0" applyFont="1" applyBorder="1" applyAlignment="1"/>
    <xf numFmtId="0" fontId="13" fillId="0" borderId="1" xfId="0" applyFont="1" applyBorder="1" applyAlignment="1">
      <alignment horizontal="center" vertical="top" wrapText="1"/>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3" fillId="0" borderId="0" xfId="0" applyFont="1" applyAlignment="1">
      <alignment vertical="top" wrapText="1"/>
    </xf>
    <xf numFmtId="0" fontId="7" fillId="0" borderId="0" xfId="0" applyFont="1" applyAlignment="1">
      <alignment wrapText="1"/>
    </xf>
    <xf numFmtId="0" fontId="27" fillId="0" borderId="2" xfId="0" applyFont="1" applyBorder="1" applyAlignment="1">
      <alignment horizontal="center" vertical="top"/>
    </xf>
    <xf numFmtId="0" fontId="27" fillId="0" borderId="2" xfId="0" applyFont="1" applyBorder="1" applyAlignment="1">
      <alignment horizontal="center" vertical="top" wrapText="1"/>
    </xf>
    <xf numFmtId="0" fontId="23" fillId="0" borderId="2" xfId="0" applyFont="1" applyBorder="1" applyAlignment="1">
      <alignment horizontal="center" vertical="top" wrapText="1"/>
    </xf>
    <xf numFmtId="0" fontId="23" fillId="0" borderId="2" xfId="0" applyFont="1" applyBorder="1" applyAlignment="1">
      <alignment horizontal="center" vertical="top"/>
    </xf>
    <xf numFmtId="0" fontId="18" fillId="0" borderId="2" xfId="0" applyFont="1" applyBorder="1" applyAlignment="1">
      <alignment horizontal="center"/>
    </xf>
    <xf numFmtId="0" fontId="8" fillId="0" borderId="2" xfId="0" applyFont="1" applyBorder="1" applyAlignment="1">
      <alignment horizontal="center" vertical="top"/>
    </xf>
    <xf numFmtId="0" fontId="15" fillId="0" borderId="2" xfId="0" applyFont="1" applyBorder="1" applyAlignment="1">
      <alignment horizontal="right"/>
    </xf>
    <xf numFmtId="0" fontId="0" fillId="0" borderId="0" xfId="0" applyAlignment="1">
      <alignment wrapText="1"/>
    </xf>
    <xf numFmtId="0" fontId="29" fillId="0" borderId="0" xfId="0" applyFont="1" applyAlignment="1">
      <alignment horizontal="center" vertical="top"/>
    </xf>
    <xf numFmtId="0" fontId="29" fillId="0" borderId="0" xfId="0" applyFont="1" applyBorder="1" applyAlignment="1">
      <alignment horizontal="center" vertical="top"/>
    </xf>
    <xf numFmtId="0" fontId="30" fillId="0" borderId="1" xfId="0" applyFont="1" applyBorder="1" applyAlignment="1">
      <alignment horizontal="right" vertical="top"/>
    </xf>
    <xf numFmtId="0" fontId="29" fillId="0" borderId="2" xfId="0" applyFont="1" applyBorder="1" applyAlignment="1">
      <alignment vertical="top"/>
    </xf>
    <xf numFmtId="0" fontId="29" fillId="0" borderId="2" xfId="0" applyFont="1" applyBorder="1" applyAlignment="1">
      <alignment vertical="top" wrapText="1"/>
    </xf>
    <xf numFmtId="0" fontId="29" fillId="0" borderId="3" xfId="0" applyFont="1" applyBorder="1" applyAlignment="1">
      <alignment vertical="top" wrapText="1"/>
    </xf>
    <xf numFmtId="0" fontId="29" fillId="0" borderId="4" xfId="0" applyFont="1" applyBorder="1" applyAlignment="1">
      <alignment vertical="top" wrapText="1"/>
    </xf>
    <xf numFmtId="0" fontId="29" fillId="0" borderId="5" xfId="0" applyFont="1" applyBorder="1" applyAlignment="1">
      <alignment vertical="top" wrapText="1"/>
    </xf>
    <xf numFmtId="0" fontId="29" fillId="0" borderId="4" xfId="0" applyFont="1" applyBorder="1" applyAlignment="1">
      <alignment horizontal="justify" vertical="top" wrapText="1"/>
    </xf>
    <xf numFmtId="0" fontId="29" fillId="0" borderId="3" xfId="0" applyFont="1" applyBorder="1" applyAlignment="1">
      <alignment horizontal="justify" vertical="top" wrapText="1"/>
    </xf>
    <xf numFmtId="0" fontId="29" fillId="0" borderId="5" xfId="0" applyFont="1" applyBorder="1" applyAlignment="1">
      <alignment horizontal="justify" vertical="top" wrapText="1"/>
    </xf>
    <xf numFmtId="0" fontId="28" fillId="0" borderId="18" xfId="0" applyFont="1" applyBorder="1" applyAlignment="1">
      <alignment wrapText="1"/>
    </xf>
    <xf numFmtId="0" fontId="28" fillId="0" borderId="18" xfId="0" applyFont="1" applyBorder="1" applyAlignment="1"/>
    <xf numFmtId="0" fontId="29" fillId="0" borderId="3" xfId="0" applyFont="1" applyBorder="1" applyAlignment="1">
      <alignment horizontal="center" vertical="top"/>
    </xf>
    <xf numFmtId="0" fontId="29" fillId="0" borderId="4" xfId="0" applyFont="1" applyBorder="1" applyAlignment="1">
      <alignment horizontal="center" vertical="top"/>
    </xf>
    <xf numFmtId="0" fontId="29" fillId="0" borderId="5" xfId="0" applyFont="1" applyBorder="1" applyAlignment="1">
      <alignment horizontal="center" vertical="top"/>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6" xfId="0" applyFont="1" applyBorder="1" applyAlignment="1">
      <alignment horizontal="center"/>
    </xf>
    <xf numFmtId="0" fontId="27" fillId="0" borderId="1" xfId="0" applyFont="1" applyBorder="1" applyAlignment="1">
      <alignment horizontal="center"/>
    </xf>
    <xf numFmtId="0" fontId="27" fillId="0" borderId="17" xfId="0" applyFont="1" applyBorder="1" applyAlignment="1">
      <alignment horizontal="center"/>
    </xf>
    <xf numFmtId="0" fontId="3" fillId="0" borderId="0" xfId="0" applyFont="1" applyBorder="1" applyAlignment="1">
      <alignment vertical="top" wrapText="1"/>
    </xf>
    <xf numFmtId="0" fontId="2" fillId="0" borderId="0" xfId="0" applyFont="1" applyAlignment="1">
      <alignment vertical="top" wrapText="1"/>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0" fillId="0" borderId="29" xfId="0" applyFont="1" applyBorder="1" applyAlignment="1">
      <alignment horizontal="left" vertical="top" wrapText="1"/>
    </xf>
    <xf numFmtId="0" fontId="30" fillId="0" borderId="8" xfId="0" applyFont="1" applyBorder="1" applyAlignment="1">
      <alignment horizontal="left" vertical="top" wrapText="1"/>
    </xf>
    <xf numFmtId="0" fontId="30" fillId="0" borderId="7" xfId="0" applyFont="1" applyBorder="1" applyAlignment="1">
      <alignment horizontal="left" vertical="top" wrapText="1"/>
    </xf>
    <xf numFmtId="0" fontId="30" fillId="0" borderId="25" xfId="0" applyFont="1" applyBorder="1" applyAlignment="1">
      <alignment vertical="top" wrapText="1"/>
    </xf>
    <xf numFmtId="0" fontId="30" fillId="0" borderId="26" xfId="0" applyFont="1" applyBorder="1" applyAlignment="1">
      <alignment vertical="top" wrapText="1"/>
    </xf>
    <xf numFmtId="0" fontId="30" fillId="0" borderId="12" xfId="0" applyFont="1" applyBorder="1" applyAlignment="1">
      <alignment vertical="top" wrapText="1"/>
    </xf>
    <xf numFmtId="0" fontId="30" fillId="0" borderId="2" xfId="0" applyFont="1" applyBorder="1" applyAlignment="1">
      <alignment vertical="top" wrapText="1"/>
    </xf>
    <xf numFmtId="0" fontId="30" fillId="0" borderId="28" xfId="0" applyFont="1" applyBorder="1" applyAlignment="1">
      <alignment vertical="top" wrapText="1"/>
    </xf>
    <xf numFmtId="0" fontId="30" fillId="0" borderId="4" xfId="0" applyFont="1" applyBorder="1" applyAlignment="1">
      <alignment vertical="top" wrapText="1"/>
    </xf>
    <xf numFmtId="0" fontId="30" fillId="0" borderId="5" xfId="0" applyFont="1" applyBorder="1" applyAlignment="1">
      <alignment vertical="top" wrapText="1"/>
    </xf>
    <xf numFmtId="0" fontId="30" fillId="0" borderId="14" xfId="0" applyFont="1" applyBorder="1" applyAlignment="1">
      <alignment horizontal="left" vertical="top" wrapText="1"/>
    </xf>
    <xf numFmtId="0" fontId="30" fillId="0" borderId="0" xfId="0" applyFont="1" applyBorder="1" applyAlignment="1">
      <alignment horizontal="left" vertical="top" wrapText="1"/>
    </xf>
    <xf numFmtId="0" fontId="30" fillId="0" borderId="15" xfId="0" applyFont="1" applyBorder="1" applyAlignment="1">
      <alignment horizontal="left" vertical="top" wrapText="1"/>
    </xf>
  </cellXfs>
  <cellStyles count="3">
    <cellStyle name="Input" xfId="1" builtinId="20"/>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workbookViewId="0">
      <pane xSplit="2" ySplit="2" topLeftCell="I3" activePane="bottomRight" state="frozen"/>
      <selection pane="topRight" activeCell="C1" sqref="C1"/>
      <selection pane="bottomLeft" activeCell="A3" sqref="A3"/>
      <selection pane="bottomRight" activeCell="Z12" sqref="Z12"/>
    </sheetView>
  </sheetViews>
  <sheetFormatPr defaultRowHeight="15" x14ac:dyDescent="0.25"/>
  <cols>
    <col min="1" max="1" width="5.7109375" style="27" customWidth="1"/>
    <col min="2" max="2" width="17.140625" style="27" customWidth="1"/>
    <col min="3" max="3" width="15" style="27" customWidth="1"/>
    <col min="4" max="4" width="9.140625" style="27"/>
    <col min="5" max="5" width="16.85546875" style="27" customWidth="1"/>
    <col min="6" max="6" width="13.140625" style="27" customWidth="1"/>
    <col min="7" max="7" width="11" style="27" customWidth="1"/>
    <col min="8" max="8" width="9.140625" style="27" hidden="1" customWidth="1"/>
    <col min="9" max="9" width="16" style="27" customWidth="1"/>
    <col min="10" max="10" width="13.42578125" style="27" customWidth="1"/>
    <col min="11" max="11" width="10.140625" style="27" customWidth="1"/>
    <col min="12" max="12" width="14.85546875" style="27" customWidth="1"/>
    <col min="13" max="13" width="16.28515625" style="27" customWidth="1"/>
    <col min="14" max="14" width="9.7109375" style="27" bestFit="1" customWidth="1"/>
    <col min="15" max="15" width="16" style="27" customWidth="1"/>
    <col min="16" max="16" width="13.140625" style="27" customWidth="1"/>
    <col min="17" max="17" width="9.42578125" style="27" bestFit="1" customWidth="1"/>
    <col min="18" max="18" width="11" style="27" hidden="1" customWidth="1"/>
    <col min="19" max="19" width="16.42578125" style="27" customWidth="1"/>
    <col min="20" max="20" width="14.85546875" style="27" customWidth="1"/>
    <col min="21" max="21" width="13.7109375" style="27" customWidth="1"/>
    <col min="22" max="22" width="10.7109375" style="27" customWidth="1"/>
    <col min="23" max="16384" width="9.140625" style="27"/>
  </cols>
  <sheetData>
    <row r="1" spans="1:24" ht="33.75" customHeight="1" x14ac:dyDescent="0.25">
      <c r="A1" s="192" t="s">
        <v>277</v>
      </c>
      <c r="B1" s="192"/>
      <c r="C1" s="192"/>
      <c r="D1" s="192"/>
      <c r="E1" s="192"/>
      <c r="F1" s="192"/>
      <c r="G1" s="192"/>
      <c r="H1" s="192"/>
      <c r="I1" s="192"/>
      <c r="J1" s="192"/>
      <c r="K1" s="192"/>
      <c r="L1" s="192"/>
      <c r="M1" s="192"/>
      <c r="N1" s="192"/>
      <c r="O1" s="192"/>
      <c r="P1" s="192"/>
      <c r="Q1" s="192"/>
      <c r="R1" s="192"/>
      <c r="S1" s="192"/>
      <c r="T1" s="192"/>
      <c r="U1" s="192"/>
      <c r="V1" s="192"/>
    </row>
    <row r="2" spans="1:24" ht="69" customHeight="1" x14ac:dyDescent="0.25">
      <c r="A2" s="193" t="s">
        <v>111</v>
      </c>
      <c r="B2" s="193" t="s">
        <v>166</v>
      </c>
      <c r="C2" s="195" t="s">
        <v>276</v>
      </c>
      <c r="D2" s="196"/>
      <c r="E2" s="197"/>
      <c r="F2" s="195" t="s">
        <v>275</v>
      </c>
      <c r="G2" s="196"/>
      <c r="H2" s="196"/>
      <c r="I2" s="197"/>
      <c r="J2" s="195" t="s">
        <v>274</v>
      </c>
      <c r="K2" s="196"/>
      <c r="L2" s="197"/>
      <c r="M2" s="195" t="s">
        <v>273</v>
      </c>
      <c r="N2" s="196"/>
      <c r="O2" s="197"/>
      <c r="P2" s="195" t="s">
        <v>272</v>
      </c>
      <c r="Q2" s="196"/>
      <c r="R2" s="197"/>
      <c r="S2" s="170"/>
      <c r="T2" s="193" t="s">
        <v>278</v>
      </c>
      <c r="U2" s="193" t="s">
        <v>279</v>
      </c>
      <c r="V2" s="193" t="s">
        <v>280</v>
      </c>
    </row>
    <row r="3" spans="1:24" ht="52.5" customHeight="1" x14ac:dyDescent="0.25">
      <c r="A3" s="194"/>
      <c r="B3" s="194"/>
      <c r="C3" s="170" t="s">
        <v>269</v>
      </c>
      <c r="D3" s="170" t="s">
        <v>281</v>
      </c>
      <c r="E3" s="170" t="s">
        <v>282</v>
      </c>
      <c r="F3" s="170" t="s">
        <v>269</v>
      </c>
      <c r="G3" s="170" t="s">
        <v>281</v>
      </c>
      <c r="I3" s="170" t="s">
        <v>282</v>
      </c>
      <c r="J3" s="170" t="s">
        <v>269</v>
      </c>
      <c r="K3" s="170" t="s">
        <v>281</v>
      </c>
      <c r="L3" s="170" t="s">
        <v>282</v>
      </c>
      <c r="M3" s="170" t="s">
        <v>269</v>
      </c>
      <c r="N3" s="170" t="s">
        <v>281</v>
      </c>
      <c r="O3" s="170" t="s">
        <v>282</v>
      </c>
      <c r="P3" s="170" t="s">
        <v>269</v>
      </c>
      <c r="Q3" s="170" t="s">
        <v>281</v>
      </c>
      <c r="S3" s="170" t="s">
        <v>282</v>
      </c>
      <c r="T3" s="194"/>
      <c r="U3" s="194"/>
      <c r="V3" s="194"/>
    </row>
    <row r="4" spans="1:24" ht="27" customHeight="1" x14ac:dyDescent="0.25">
      <c r="A4" s="174">
        <v>1</v>
      </c>
      <c r="B4" s="173" t="s">
        <v>116</v>
      </c>
      <c r="C4" s="167">
        <v>2105</v>
      </c>
      <c r="D4" s="167">
        <v>61.19</v>
      </c>
      <c r="E4" s="167">
        <f>SUM(C4*D4)</f>
        <v>128804.95</v>
      </c>
      <c r="F4" s="167">
        <v>134</v>
      </c>
      <c r="G4" s="167">
        <v>10.64</v>
      </c>
      <c r="H4" s="167"/>
      <c r="I4" s="167">
        <f>F4*G4</f>
        <v>1425.76</v>
      </c>
      <c r="J4" s="167">
        <v>500</v>
      </c>
      <c r="K4" s="167">
        <v>10.78</v>
      </c>
      <c r="L4" s="167">
        <f>J4*K4</f>
        <v>5390</v>
      </c>
      <c r="M4" s="171"/>
      <c r="N4" s="167"/>
      <c r="O4" s="167">
        <f>M4*N4</f>
        <v>0</v>
      </c>
      <c r="P4" s="171">
        <v>397</v>
      </c>
      <c r="Q4" s="167">
        <v>14.56</v>
      </c>
      <c r="R4" s="167">
        <v>1697</v>
      </c>
      <c r="S4" s="167">
        <f>P4*Q4</f>
        <v>5780.3200000000006</v>
      </c>
      <c r="T4" s="167">
        <f>E4+I4+L4+O4+S4</f>
        <v>141401.03</v>
      </c>
      <c r="U4" s="167">
        <v>4618.2700000000004</v>
      </c>
      <c r="V4" s="167">
        <f>T4/U4</f>
        <v>30.617748637476801</v>
      </c>
      <c r="X4" s="27">
        <v>30.617748637476801</v>
      </c>
    </row>
    <row r="5" spans="1:24" ht="27" customHeight="1" x14ac:dyDescent="0.25">
      <c r="A5" s="174">
        <f>A4+1</f>
        <v>2</v>
      </c>
      <c r="B5" s="173" t="s">
        <v>14</v>
      </c>
      <c r="C5" s="167">
        <v>131</v>
      </c>
      <c r="D5" s="167"/>
      <c r="E5" s="167">
        <f t="shared" ref="E5:E34" si="0">SUM(C5*D5)</f>
        <v>0</v>
      </c>
      <c r="F5" s="167">
        <v>1.2869999999999999</v>
      </c>
      <c r="G5" s="167"/>
      <c r="H5" s="167"/>
      <c r="I5" s="167">
        <f t="shared" ref="I5:I34" si="1">F5*G5</f>
        <v>0</v>
      </c>
      <c r="J5" s="167">
        <v>2.5259999999999998</v>
      </c>
      <c r="K5" s="167"/>
      <c r="L5" s="167">
        <f t="shared" ref="L5:L34" si="2">J5*K5</f>
        <v>0</v>
      </c>
      <c r="M5" s="171">
        <v>3.91</v>
      </c>
      <c r="N5" s="167"/>
      <c r="O5" s="167">
        <f t="shared" ref="O5:O34" si="3">M5*N5</f>
        <v>0</v>
      </c>
      <c r="P5" s="171"/>
      <c r="Q5" s="167"/>
      <c r="R5" s="167"/>
      <c r="S5" s="167">
        <f t="shared" ref="S5:S34" si="4">P5*Q5</f>
        <v>0</v>
      </c>
      <c r="T5" s="167">
        <f t="shared" ref="T5:T32" si="5">E5+I5+L5+O5+S5</f>
        <v>0</v>
      </c>
      <c r="U5" s="167">
        <v>124.92</v>
      </c>
      <c r="V5" s="167">
        <f t="shared" ref="V5:V32" si="6">T5/U5</f>
        <v>0</v>
      </c>
      <c r="W5" s="27">
        <v>0</v>
      </c>
      <c r="X5" s="27">
        <v>37.031914221977637</v>
      </c>
    </row>
    <row r="6" spans="1:24" ht="27" customHeight="1" x14ac:dyDescent="0.25">
      <c r="A6" s="174">
        <f t="shared" ref="A6:A32" si="7">A5+1</f>
        <v>3</v>
      </c>
      <c r="B6" s="173" t="s">
        <v>16</v>
      </c>
      <c r="C6" s="167">
        <v>2467.136</v>
      </c>
      <c r="D6" s="167">
        <v>50.26</v>
      </c>
      <c r="E6" s="167">
        <f t="shared" si="0"/>
        <v>123998.25536</v>
      </c>
      <c r="F6" s="167">
        <v>10.702</v>
      </c>
      <c r="G6" s="167"/>
      <c r="H6" s="167">
        <v>796</v>
      </c>
      <c r="I6" s="167">
        <f t="shared" si="1"/>
        <v>0</v>
      </c>
      <c r="J6" s="167">
        <v>57.42</v>
      </c>
      <c r="K6" s="167">
        <v>11.35</v>
      </c>
      <c r="L6" s="167">
        <f t="shared" si="2"/>
        <v>651.71699999999998</v>
      </c>
      <c r="M6" s="171">
        <v>17.452000000000002</v>
      </c>
      <c r="N6" s="167">
        <v>25.22</v>
      </c>
      <c r="O6" s="167">
        <f t="shared" si="3"/>
        <v>440.13944000000004</v>
      </c>
      <c r="P6" s="171">
        <v>2.4289999999999998</v>
      </c>
      <c r="Q6" s="167">
        <v>13.27</v>
      </c>
      <c r="R6" s="167">
        <v>1021</v>
      </c>
      <c r="S6" s="167">
        <f t="shared" si="4"/>
        <v>32.23283</v>
      </c>
      <c r="T6" s="167">
        <f t="shared" si="5"/>
        <v>125122.34462999999</v>
      </c>
      <c r="U6" s="167">
        <v>2634.0400000000004</v>
      </c>
      <c r="V6" s="167">
        <f t="shared" si="6"/>
        <v>47.502067026316979</v>
      </c>
      <c r="W6" s="27">
        <v>47.502067026316979</v>
      </c>
      <c r="X6" s="27">
        <v>44.777401420752305</v>
      </c>
    </row>
    <row r="7" spans="1:24" ht="27" customHeight="1" x14ac:dyDescent="0.25">
      <c r="A7" s="174">
        <f t="shared" si="7"/>
        <v>4</v>
      </c>
      <c r="B7" s="173" t="s">
        <v>18</v>
      </c>
      <c r="C7" s="167">
        <v>3339.7769999999996</v>
      </c>
      <c r="D7" s="167"/>
      <c r="E7" s="167">
        <f t="shared" si="0"/>
        <v>0</v>
      </c>
      <c r="F7" s="167">
        <v>172.23400000000001</v>
      </c>
      <c r="G7" s="167"/>
      <c r="H7" s="167"/>
      <c r="I7" s="167">
        <f t="shared" si="1"/>
        <v>0</v>
      </c>
      <c r="J7" s="167">
        <v>12.983000000000001</v>
      </c>
      <c r="K7" s="167"/>
      <c r="L7" s="167">
        <f t="shared" si="2"/>
        <v>0</v>
      </c>
      <c r="M7" s="171">
        <v>2105.8110000000001</v>
      </c>
      <c r="N7" s="167">
        <v>41.42</v>
      </c>
      <c r="O7" s="167">
        <f t="shared" si="3"/>
        <v>87222.691620000012</v>
      </c>
      <c r="P7" s="171">
        <v>59.363999999999997</v>
      </c>
      <c r="Q7" s="167">
        <v>15.59</v>
      </c>
      <c r="R7" s="167">
        <v>2095.33</v>
      </c>
      <c r="S7" s="167">
        <f t="shared" si="4"/>
        <v>925.48475999999994</v>
      </c>
      <c r="T7" s="167">
        <f t="shared" si="5"/>
        <v>88148.176380000019</v>
      </c>
      <c r="U7" s="167">
        <v>2380.33</v>
      </c>
      <c r="V7" s="167">
        <f t="shared" si="6"/>
        <v>37.031914221977637</v>
      </c>
      <c r="W7" s="27">
        <v>64.794734911986595</v>
      </c>
      <c r="X7" s="27">
        <v>0</v>
      </c>
    </row>
    <row r="8" spans="1:24" ht="27" customHeight="1" x14ac:dyDescent="0.25">
      <c r="A8" s="174">
        <f t="shared" si="7"/>
        <v>5</v>
      </c>
      <c r="B8" s="173" t="s">
        <v>117</v>
      </c>
      <c r="C8" s="167">
        <v>3830</v>
      </c>
      <c r="D8" s="167">
        <v>48.07</v>
      </c>
      <c r="E8" s="167">
        <f t="shared" si="0"/>
        <v>184108.1</v>
      </c>
      <c r="F8" s="167">
        <v>19.5</v>
      </c>
      <c r="G8" s="167"/>
      <c r="H8" s="167">
        <v>599</v>
      </c>
      <c r="I8" s="167">
        <f t="shared" si="1"/>
        <v>0</v>
      </c>
      <c r="J8" s="167">
        <v>99.8</v>
      </c>
      <c r="K8" s="167"/>
      <c r="L8" s="167">
        <f t="shared" si="2"/>
        <v>0</v>
      </c>
      <c r="M8" s="171">
        <v>114.7</v>
      </c>
      <c r="N8" s="167">
        <v>27.61</v>
      </c>
      <c r="O8" s="167">
        <f t="shared" si="3"/>
        <v>3166.8670000000002</v>
      </c>
      <c r="P8" s="171">
        <v>307.39999999999998</v>
      </c>
      <c r="Q8" s="167">
        <v>16.190000000000001</v>
      </c>
      <c r="R8" s="167">
        <v>792</v>
      </c>
      <c r="S8" s="167">
        <f t="shared" si="4"/>
        <v>4976.8059999999996</v>
      </c>
      <c r="T8" s="167">
        <f t="shared" si="5"/>
        <v>192251.77300000002</v>
      </c>
      <c r="U8" s="167">
        <v>4293.5</v>
      </c>
      <c r="V8" s="167">
        <f t="shared" si="6"/>
        <v>44.777401420752305</v>
      </c>
      <c r="W8" s="27">
        <v>0</v>
      </c>
      <c r="X8" s="27">
        <v>34.304113726033869</v>
      </c>
    </row>
    <row r="9" spans="1:24" ht="27" customHeight="1" x14ac:dyDescent="0.25">
      <c r="A9" s="174">
        <f t="shared" si="7"/>
        <v>6</v>
      </c>
      <c r="B9" s="173" t="s">
        <v>22</v>
      </c>
      <c r="C9" s="167">
        <v>40.823</v>
      </c>
      <c r="D9" s="167"/>
      <c r="E9" s="167">
        <f t="shared" si="0"/>
        <v>0</v>
      </c>
      <c r="F9" s="167">
        <v>0</v>
      </c>
      <c r="G9" s="167"/>
      <c r="H9" s="167"/>
      <c r="I9" s="167">
        <f t="shared" si="1"/>
        <v>0</v>
      </c>
      <c r="J9" s="167">
        <v>0</v>
      </c>
      <c r="K9" s="167"/>
      <c r="L9" s="167">
        <f t="shared" si="2"/>
        <v>0</v>
      </c>
      <c r="M9" s="171"/>
      <c r="N9" s="167"/>
      <c r="O9" s="167">
        <f t="shared" si="3"/>
        <v>0</v>
      </c>
      <c r="P9" s="171"/>
      <c r="Q9" s="167"/>
      <c r="R9" s="167"/>
      <c r="S9" s="167">
        <f t="shared" si="4"/>
        <v>0</v>
      </c>
      <c r="T9" s="167">
        <f t="shared" si="5"/>
        <v>0</v>
      </c>
      <c r="U9" s="167">
        <v>45.92</v>
      </c>
      <c r="V9" s="167">
        <f t="shared" si="6"/>
        <v>0</v>
      </c>
      <c r="W9" s="27">
        <v>0</v>
      </c>
      <c r="X9" s="27">
        <v>48.178150967672757</v>
      </c>
    </row>
    <row r="10" spans="1:24" ht="27" customHeight="1" x14ac:dyDescent="0.25">
      <c r="A10" s="174">
        <f t="shared" si="7"/>
        <v>7</v>
      </c>
      <c r="B10" s="173" t="s">
        <v>24</v>
      </c>
      <c r="C10" s="167">
        <v>837</v>
      </c>
      <c r="D10" s="167">
        <v>47.4</v>
      </c>
      <c r="E10" s="167">
        <f t="shared" si="0"/>
        <v>39673.799999999996</v>
      </c>
      <c r="F10" s="167">
        <v>179</v>
      </c>
      <c r="G10" s="167">
        <v>9.59</v>
      </c>
      <c r="H10" s="167">
        <v>208</v>
      </c>
      <c r="I10" s="167">
        <f t="shared" si="1"/>
        <v>1716.61</v>
      </c>
      <c r="J10" s="167">
        <v>197</v>
      </c>
      <c r="K10" s="167"/>
      <c r="L10" s="167">
        <f t="shared" si="2"/>
        <v>0</v>
      </c>
      <c r="M10" s="171">
        <v>995</v>
      </c>
      <c r="N10" s="167">
        <v>47.87</v>
      </c>
      <c r="O10" s="167">
        <f t="shared" si="3"/>
        <v>47630.649999999994</v>
      </c>
      <c r="P10" s="171">
        <v>164</v>
      </c>
      <c r="Q10" s="167">
        <v>15.44</v>
      </c>
      <c r="R10" s="167">
        <v>1411.33</v>
      </c>
      <c r="S10" s="167">
        <f t="shared" si="4"/>
        <v>2532.16</v>
      </c>
      <c r="T10" s="167">
        <f t="shared" si="5"/>
        <v>91553.22</v>
      </c>
      <c r="U10" s="167">
        <v>2668.87</v>
      </c>
      <c r="V10" s="167">
        <f t="shared" si="6"/>
        <v>34.304113726033869</v>
      </c>
      <c r="W10" s="27">
        <v>0</v>
      </c>
      <c r="X10" s="27">
        <v>29.966157343366302</v>
      </c>
    </row>
    <row r="11" spans="1:24" ht="27" customHeight="1" x14ac:dyDescent="0.25">
      <c r="A11" s="174">
        <f t="shared" si="7"/>
        <v>8</v>
      </c>
      <c r="B11" s="173" t="s">
        <v>26</v>
      </c>
      <c r="C11" s="167">
        <v>1386</v>
      </c>
      <c r="D11" s="167">
        <v>29.2</v>
      </c>
      <c r="E11" s="167">
        <f t="shared" si="0"/>
        <v>40471.199999999997</v>
      </c>
      <c r="F11" s="167">
        <v>27.2</v>
      </c>
      <c r="G11" s="167"/>
      <c r="H11" s="167"/>
      <c r="I11" s="167">
        <f t="shared" si="1"/>
        <v>0</v>
      </c>
      <c r="J11" s="167">
        <v>1</v>
      </c>
      <c r="K11" s="167"/>
      <c r="L11" s="167">
        <f t="shared" si="2"/>
        <v>0</v>
      </c>
      <c r="M11" s="171">
        <v>2558</v>
      </c>
      <c r="N11" s="167">
        <v>54.12</v>
      </c>
      <c r="O11" s="167">
        <f t="shared" si="3"/>
        <v>138438.96</v>
      </c>
      <c r="P11" s="171">
        <v>37</v>
      </c>
      <c r="Q11" s="167">
        <v>22.25</v>
      </c>
      <c r="R11" s="167"/>
      <c r="S11" s="167">
        <f t="shared" si="4"/>
        <v>823.25</v>
      </c>
      <c r="T11" s="167">
        <f t="shared" si="5"/>
        <v>179733.40999999997</v>
      </c>
      <c r="U11" s="167">
        <v>3730.6</v>
      </c>
      <c r="V11" s="167">
        <f t="shared" si="6"/>
        <v>48.178150967672757</v>
      </c>
      <c r="W11" s="27">
        <v>0</v>
      </c>
      <c r="X11" s="27">
        <v>34.434789258947966</v>
      </c>
    </row>
    <row r="12" spans="1:24" ht="27" customHeight="1" x14ac:dyDescent="0.25">
      <c r="A12" s="174">
        <f t="shared" si="7"/>
        <v>9</v>
      </c>
      <c r="B12" s="173" t="s">
        <v>28</v>
      </c>
      <c r="C12" s="167">
        <v>74.474999999999994</v>
      </c>
      <c r="D12" s="167">
        <v>35.1</v>
      </c>
      <c r="E12" s="167">
        <f t="shared" si="0"/>
        <v>2614.0724999999998</v>
      </c>
      <c r="F12" s="167">
        <v>0.28599999999999998</v>
      </c>
      <c r="G12" s="167"/>
      <c r="H12" s="167"/>
      <c r="I12" s="167">
        <f t="shared" si="1"/>
        <v>0</v>
      </c>
      <c r="J12" s="167">
        <v>8.5630000000000006</v>
      </c>
      <c r="K12" s="167"/>
      <c r="L12" s="167">
        <f t="shared" si="2"/>
        <v>0</v>
      </c>
      <c r="M12" s="171">
        <v>346.38799999999998</v>
      </c>
      <c r="N12" s="167">
        <v>30.84</v>
      </c>
      <c r="O12" s="167">
        <f t="shared" si="3"/>
        <v>10682.60592</v>
      </c>
      <c r="P12" s="171">
        <v>0.42799999999999999</v>
      </c>
      <c r="Q12" s="167">
        <v>10.28</v>
      </c>
      <c r="R12" s="167"/>
      <c r="S12" s="167">
        <f t="shared" si="4"/>
        <v>4.3998399999999993</v>
      </c>
      <c r="T12" s="167">
        <f t="shared" si="5"/>
        <v>13301.07826</v>
      </c>
      <c r="U12" s="167">
        <v>443.87</v>
      </c>
      <c r="V12" s="167">
        <f t="shared" si="6"/>
        <v>29.966157343366302</v>
      </c>
      <c r="W12" s="27">
        <v>63.50359762033532</v>
      </c>
      <c r="X12" s="27">
        <v>46.840345979213119</v>
      </c>
    </row>
    <row r="13" spans="1:24" ht="27" customHeight="1" x14ac:dyDescent="0.25">
      <c r="A13" s="174">
        <f t="shared" si="7"/>
        <v>10</v>
      </c>
      <c r="B13" s="173" t="s">
        <v>30</v>
      </c>
      <c r="C13" s="167">
        <v>283.44299999999998</v>
      </c>
      <c r="D13" s="167">
        <v>35.1</v>
      </c>
      <c r="E13" s="167">
        <f t="shared" si="0"/>
        <v>9948.8492999999999</v>
      </c>
      <c r="F13" s="167">
        <v>0.80600000000000005</v>
      </c>
      <c r="G13" s="167">
        <v>6.95</v>
      </c>
      <c r="H13" s="167">
        <v>140</v>
      </c>
      <c r="I13" s="167">
        <f t="shared" si="1"/>
        <v>5.6017000000000001</v>
      </c>
      <c r="J13" s="167">
        <v>0</v>
      </c>
      <c r="K13" s="167"/>
      <c r="L13" s="167">
        <f t="shared" si="2"/>
        <v>0</v>
      </c>
      <c r="M13" s="171">
        <v>290.30099999999999</v>
      </c>
      <c r="N13" s="167">
        <v>33.450000000000003</v>
      </c>
      <c r="O13" s="167">
        <f t="shared" si="3"/>
        <v>9710.5684500000007</v>
      </c>
      <c r="P13" s="171"/>
      <c r="Q13" s="167">
        <v>7.92</v>
      </c>
      <c r="R13" s="167"/>
      <c r="S13" s="167">
        <f t="shared" si="4"/>
        <v>0</v>
      </c>
      <c r="T13" s="167">
        <f t="shared" si="5"/>
        <v>19665.01945</v>
      </c>
      <c r="U13" s="167">
        <v>571.07999999999993</v>
      </c>
      <c r="V13" s="167">
        <f t="shared" si="6"/>
        <v>34.434789258947966</v>
      </c>
      <c r="X13" s="27">
        <v>23.322039739378599</v>
      </c>
    </row>
    <row r="14" spans="1:24" ht="27" customHeight="1" x14ac:dyDescent="0.25">
      <c r="A14" s="174">
        <f t="shared" si="7"/>
        <v>11</v>
      </c>
      <c r="B14" s="173" t="s">
        <v>118</v>
      </c>
      <c r="C14" s="167">
        <v>1714.328</v>
      </c>
      <c r="D14" s="167">
        <v>39.200000000000003</v>
      </c>
      <c r="E14" s="167">
        <f t="shared" si="0"/>
        <v>67201.657600000006</v>
      </c>
      <c r="F14" s="167">
        <v>30.423999999999999</v>
      </c>
      <c r="G14" s="167"/>
      <c r="H14" s="167">
        <v>575</v>
      </c>
      <c r="I14" s="167">
        <f t="shared" si="1"/>
        <v>0</v>
      </c>
      <c r="J14" s="167">
        <v>151.92099999999999</v>
      </c>
      <c r="K14" s="167"/>
      <c r="L14" s="167">
        <f t="shared" si="2"/>
        <v>0</v>
      </c>
      <c r="M14" s="171">
        <v>211.471</v>
      </c>
      <c r="N14" s="167">
        <v>34.92</v>
      </c>
      <c r="O14" s="167">
        <f t="shared" si="3"/>
        <v>7384.5673200000001</v>
      </c>
      <c r="P14" s="171">
        <v>210.74199999999999</v>
      </c>
      <c r="Q14" s="167"/>
      <c r="R14" s="167"/>
      <c r="S14" s="167">
        <f t="shared" si="4"/>
        <v>0</v>
      </c>
      <c r="T14" s="167">
        <f t="shared" si="5"/>
        <v>74586.224920000008</v>
      </c>
      <c r="U14" s="167">
        <v>1592.35</v>
      </c>
      <c r="V14" s="167">
        <f t="shared" si="6"/>
        <v>46.840345979213119</v>
      </c>
      <c r="X14" s="27">
        <v>44.303235923022086</v>
      </c>
    </row>
    <row r="15" spans="1:24" ht="27" customHeight="1" x14ac:dyDescent="0.25">
      <c r="A15" s="174">
        <f t="shared" si="7"/>
        <v>12</v>
      </c>
      <c r="B15" s="173" t="s">
        <v>34</v>
      </c>
      <c r="C15" s="167">
        <v>1034</v>
      </c>
      <c r="D15" s="167">
        <v>62.6</v>
      </c>
      <c r="E15" s="167">
        <f t="shared" si="0"/>
        <v>64728.4</v>
      </c>
      <c r="F15" s="167">
        <v>419.7</v>
      </c>
      <c r="G15" s="167">
        <v>10.6</v>
      </c>
      <c r="H15" s="167">
        <v>239</v>
      </c>
      <c r="I15" s="167">
        <f t="shared" si="1"/>
        <v>4448.82</v>
      </c>
      <c r="J15" s="167">
        <v>88</v>
      </c>
      <c r="K15" s="167">
        <v>9.85</v>
      </c>
      <c r="L15" s="167">
        <f t="shared" si="2"/>
        <v>866.8</v>
      </c>
      <c r="M15" s="171">
        <v>168</v>
      </c>
      <c r="N15" s="167">
        <v>35.04</v>
      </c>
      <c r="O15" s="167">
        <f t="shared" si="3"/>
        <v>5886.72</v>
      </c>
      <c r="P15" s="171">
        <v>1003</v>
      </c>
      <c r="Q15" s="167">
        <v>10.66</v>
      </c>
      <c r="R15" s="167">
        <v>1390</v>
      </c>
      <c r="S15" s="167">
        <f t="shared" si="4"/>
        <v>10691.98</v>
      </c>
      <c r="T15" s="167">
        <f t="shared" si="5"/>
        <v>86622.720000000001</v>
      </c>
      <c r="U15" s="167">
        <v>3714.2000000000003</v>
      </c>
      <c r="V15" s="167">
        <f t="shared" si="6"/>
        <v>23.322039739378599</v>
      </c>
      <c r="X15" s="27">
        <v>40.407058713669549</v>
      </c>
    </row>
    <row r="16" spans="1:24" ht="27" customHeight="1" x14ac:dyDescent="0.25">
      <c r="A16" s="174">
        <f t="shared" si="7"/>
        <v>13</v>
      </c>
      <c r="B16" s="173" t="s">
        <v>36</v>
      </c>
      <c r="C16" s="167">
        <v>171.39</v>
      </c>
      <c r="D16" s="167">
        <v>54.4</v>
      </c>
      <c r="E16" s="167">
        <f t="shared" si="0"/>
        <v>9323.6159999999982</v>
      </c>
      <c r="F16" s="167">
        <v>0</v>
      </c>
      <c r="G16" s="167"/>
      <c r="H16" s="167"/>
      <c r="I16" s="167">
        <f t="shared" si="1"/>
        <v>0</v>
      </c>
      <c r="J16" s="167">
        <v>0</v>
      </c>
      <c r="K16" s="167"/>
      <c r="L16" s="167">
        <f t="shared" si="2"/>
        <v>0</v>
      </c>
      <c r="M16" s="171">
        <v>1E-3</v>
      </c>
      <c r="N16" s="167"/>
      <c r="O16" s="167">
        <f t="shared" si="3"/>
        <v>0</v>
      </c>
      <c r="P16" s="171">
        <v>1.5620000000000001</v>
      </c>
      <c r="Q16" s="167"/>
      <c r="R16" s="167"/>
      <c r="S16" s="167">
        <f t="shared" si="4"/>
        <v>0</v>
      </c>
      <c r="T16" s="167">
        <f t="shared" si="5"/>
        <v>9323.6159999999982</v>
      </c>
      <c r="U16" s="167">
        <v>210.45</v>
      </c>
      <c r="V16" s="167">
        <f t="shared" si="6"/>
        <v>44.303235923022086</v>
      </c>
      <c r="X16" s="27">
        <v>26.967220988954697</v>
      </c>
    </row>
    <row r="17" spans="1:24" ht="27" customHeight="1" x14ac:dyDescent="0.25">
      <c r="A17" s="174">
        <f t="shared" si="7"/>
        <v>14</v>
      </c>
      <c r="B17" s="173" t="s">
        <v>38</v>
      </c>
      <c r="C17" s="167">
        <v>2289</v>
      </c>
      <c r="D17" s="167">
        <v>49.1</v>
      </c>
      <c r="E17" s="167">
        <f t="shared" si="0"/>
        <v>112389.90000000001</v>
      </c>
      <c r="F17" s="167">
        <v>487</v>
      </c>
      <c r="G17" s="167"/>
      <c r="H17" s="167">
        <v>374</v>
      </c>
      <c r="I17" s="167">
        <f t="shared" si="1"/>
        <v>0</v>
      </c>
      <c r="J17" s="167">
        <v>1203</v>
      </c>
      <c r="K17" s="167">
        <v>8.1300000000000008</v>
      </c>
      <c r="L17" s="167">
        <f t="shared" si="2"/>
        <v>9780.3900000000012</v>
      </c>
      <c r="M17" s="171">
        <v>6028</v>
      </c>
      <c r="N17" s="167">
        <v>47.79</v>
      </c>
      <c r="O17" s="167">
        <f t="shared" si="3"/>
        <v>288078.12</v>
      </c>
      <c r="P17" s="171">
        <v>3222</v>
      </c>
      <c r="Q17" s="167">
        <v>15.03</v>
      </c>
      <c r="R17" s="167">
        <v>1485</v>
      </c>
      <c r="S17" s="167">
        <f t="shared" si="4"/>
        <v>48426.659999999996</v>
      </c>
      <c r="T17" s="167">
        <f t="shared" si="5"/>
        <v>458675.07</v>
      </c>
      <c r="U17" s="167">
        <v>11351.36</v>
      </c>
      <c r="V17" s="167">
        <f t="shared" si="6"/>
        <v>40.407058713669549</v>
      </c>
      <c r="X17" s="27">
        <v>50.112950451728281</v>
      </c>
    </row>
    <row r="18" spans="1:24" ht="27" customHeight="1" x14ac:dyDescent="0.25">
      <c r="A18" s="174">
        <f t="shared" si="7"/>
        <v>15</v>
      </c>
      <c r="B18" s="173" t="s">
        <v>40</v>
      </c>
      <c r="C18" s="167">
        <v>1535.3</v>
      </c>
      <c r="D18" s="167">
        <v>44.7</v>
      </c>
      <c r="E18" s="167">
        <f t="shared" si="0"/>
        <v>68627.91</v>
      </c>
      <c r="F18" s="167">
        <v>444.3</v>
      </c>
      <c r="G18" s="167">
        <v>12.09</v>
      </c>
      <c r="H18" s="167">
        <v>512</v>
      </c>
      <c r="I18" s="167">
        <f t="shared" si="1"/>
        <v>5371.5870000000004</v>
      </c>
      <c r="J18" s="167">
        <v>337.9</v>
      </c>
      <c r="K18" s="167">
        <v>9.19</v>
      </c>
      <c r="L18" s="167">
        <f t="shared" si="2"/>
        <v>3105.3009999999995</v>
      </c>
      <c r="M18" s="171">
        <v>1272.0999999999999</v>
      </c>
      <c r="N18" s="167">
        <v>40.69</v>
      </c>
      <c r="O18" s="167">
        <f t="shared" si="3"/>
        <v>51761.748999999996</v>
      </c>
      <c r="P18" s="171">
        <v>1929.3</v>
      </c>
      <c r="Q18" s="167">
        <v>15.88</v>
      </c>
      <c r="R18" s="167">
        <v>1247.67</v>
      </c>
      <c r="S18" s="167">
        <f t="shared" si="4"/>
        <v>30637.284</v>
      </c>
      <c r="T18" s="167">
        <f t="shared" si="5"/>
        <v>159503.83100000001</v>
      </c>
      <c r="U18" s="167">
        <v>5914.73</v>
      </c>
      <c r="V18" s="167">
        <f t="shared" si="6"/>
        <v>26.967220988954697</v>
      </c>
      <c r="X18" s="27">
        <v>54.268560072021884</v>
      </c>
    </row>
    <row r="19" spans="1:24" ht="27" customHeight="1" x14ac:dyDescent="0.25">
      <c r="A19" s="174">
        <f t="shared" si="7"/>
        <v>16</v>
      </c>
      <c r="B19" s="173" t="s">
        <v>124</v>
      </c>
      <c r="C19" s="167">
        <v>244</v>
      </c>
      <c r="D19" s="167">
        <v>50.6</v>
      </c>
      <c r="E19" s="167">
        <f t="shared" si="0"/>
        <v>12346.4</v>
      </c>
      <c r="F19" s="167">
        <v>0.46</v>
      </c>
      <c r="G19" s="167">
        <v>6.53</v>
      </c>
      <c r="H19" s="167"/>
      <c r="I19" s="167">
        <f t="shared" si="1"/>
        <v>3.0038</v>
      </c>
      <c r="J19" s="167">
        <v>1.46</v>
      </c>
      <c r="K19" s="167">
        <v>6.43</v>
      </c>
      <c r="L19" s="167">
        <f t="shared" si="2"/>
        <v>9.3877999999999986</v>
      </c>
      <c r="M19" s="171">
        <v>2.25</v>
      </c>
      <c r="N19" s="167"/>
      <c r="O19" s="167">
        <f t="shared" si="3"/>
        <v>0</v>
      </c>
      <c r="P19" s="171">
        <v>0.78</v>
      </c>
      <c r="Q19" s="167">
        <v>11.83</v>
      </c>
      <c r="R19" s="167">
        <v>1192</v>
      </c>
      <c r="S19" s="167">
        <f t="shared" si="4"/>
        <v>9.2274000000000012</v>
      </c>
      <c r="T19" s="167">
        <f t="shared" si="5"/>
        <v>12368.019</v>
      </c>
      <c r="U19" s="167">
        <v>190.88</v>
      </c>
      <c r="V19" s="167">
        <f t="shared" si="6"/>
        <v>64.794734911986595</v>
      </c>
      <c r="X19" s="27">
        <v>34.984406216744894</v>
      </c>
    </row>
    <row r="20" spans="1:24" ht="27" customHeight="1" x14ac:dyDescent="0.25">
      <c r="A20" s="174">
        <f t="shared" si="7"/>
        <v>17</v>
      </c>
      <c r="B20" s="173" t="s">
        <v>125</v>
      </c>
      <c r="C20" s="167">
        <v>111.17999999999999</v>
      </c>
      <c r="D20" s="167"/>
      <c r="E20" s="167">
        <f t="shared" si="0"/>
        <v>0</v>
      </c>
      <c r="F20" s="167">
        <v>0</v>
      </c>
      <c r="G20" s="167"/>
      <c r="H20" s="167"/>
      <c r="I20" s="167">
        <f t="shared" si="1"/>
        <v>0</v>
      </c>
      <c r="J20" s="167">
        <v>0</v>
      </c>
      <c r="K20" s="167"/>
      <c r="L20" s="167">
        <f t="shared" si="2"/>
        <v>0</v>
      </c>
      <c r="M20" s="171">
        <v>0.46</v>
      </c>
      <c r="N20" s="167"/>
      <c r="O20" s="167">
        <f t="shared" si="3"/>
        <v>0</v>
      </c>
      <c r="P20" s="171">
        <v>1.85</v>
      </c>
      <c r="Q20" s="167"/>
      <c r="R20" s="167"/>
      <c r="S20" s="167">
        <f t="shared" si="4"/>
        <v>0</v>
      </c>
      <c r="T20" s="167">
        <f t="shared" si="5"/>
        <v>0</v>
      </c>
      <c r="U20" s="167">
        <v>0</v>
      </c>
      <c r="V20" s="167">
        <v>0</v>
      </c>
      <c r="X20" s="27">
        <v>44.522849186489708</v>
      </c>
    </row>
    <row r="21" spans="1:24" ht="27" customHeight="1" x14ac:dyDescent="0.25">
      <c r="A21" s="174">
        <f t="shared" si="7"/>
        <v>18</v>
      </c>
      <c r="B21" s="173" t="s">
        <v>126</v>
      </c>
      <c r="C21" s="167">
        <v>36.857999999999997</v>
      </c>
      <c r="D21" s="167"/>
      <c r="E21" s="167">
        <f t="shared" si="0"/>
        <v>0</v>
      </c>
      <c r="F21" s="167">
        <v>0</v>
      </c>
      <c r="G21" s="167"/>
      <c r="H21" s="167"/>
      <c r="I21" s="167">
        <f t="shared" si="1"/>
        <v>0</v>
      </c>
      <c r="J21" s="167">
        <v>0</v>
      </c>
      <c r="K21" s="167"/>
      <c r="L21" s="167">
        <f t="shared" si="2"/>
        <v>0</v>
      </c>
      <c r="M21" s="171"/>
      <c r="N21" s="167"/>
      <c r="O21" s="167">
        <f t="shared" si="3"/>
        <v>0</v>
      </c>
      <c r="P21" s="171"/>
      <c r="Q21" s="167"/>
      <c r="R21" s="167"/>
      <c r="S21" s="167">
        <f t="shared" si="4"/>
        <v>0</v>
      </c>
      <c r="T21" s="167">
        <f t="shared" si="5"/>
        <v>0</v>
      </c>
      <c r="U21" s="167">
        <v>0</v>
      </c>
      <c r="V21" s="167">
        <v>0</v>
      </c>
      <c r="X21" s="27">
        <v>0</v>
      </c>
    </row>
    <row r="22" spans="1:24" ht="27" customHeight="1" x14ac:dyDescent="0.25">
      <c r="A22" s="174">
        <f t="shared" si="7"/>
        <v>19</v>
      </c>
      <c r="B22" s="173" t="s">
        <v>48</v>
      </c>
      <c r="C22" s="167">
        <v>206.66000000000003</v>
      </c>
      <c r="D22" s="167"/>
      <c r="E22" s="167">
        <f t="shared" si="0"/>
        <v>0</v>
      </c>
      <c r="F22" s="167">
        <v>0</v>
      </c>
      <c r="G22" s="167"/>
      <c r="H22" s="167"/>
      <c r="I22" s="167">
        <f t="shared" si="1"/>
        <v>0</v>
      </c>
      <c r="J22" s="167">
        <v>1.27</v>
      </c>
      <c r="K22" s="167"/>
      <c r="L22" s="167">
        <f t="shared" si="2"/>
        <v>0</v>
      </c>
      <c r="M22" s="171">
        <v>3.38</v>
      </c>
      <c r="N22" s="167"/>
      <c r="O22" s="167">
        <f t="shared" si="3"/>
        <v>0</v>
      </c>
      <c r="P22" s="171">
        <v>0.75</v>
      </c>
      <c r="Q22" s="167"/>
      <c r="R22" s="167"/>
      <c r="S22" s="167">
        <f t="shared" si="4"/>
        <v>0</v>
      </c>
      <c r="T22" s="167">
        <f t="shared" si="5"/>
        <v>0</v>
      </c>
      <c r="U22" s="167">
        <v>0</v>
      </c>
      <c r="V22" s="167">
        <v>0</v>
      </c>
      <c r="X22" s="27">
        <v>45.935199133683767</v>
      </c>
    </row>
    <row r="23" spans="1:24" ht="27" customHeight="1" x14ac:dyDescent="0.25">
      <c r="A23" s="174">
        <f t="shared" si="7"/>
        <v>20</v>
      </c>
      <c r="B23" s="173" t="s">
        <v>119</v>
      </c>
      <c r="C23" s="167">
        <v>3854.78</v>
      </c>
      <c r="D23" s="167">
        <v>56.4</v>
      </c>
      <c r="E23" s="167">
        <f t="shared" si="0"/>
        <v>217409.592</v>
      </c>
      <c r="F23" s="167">
        <v>326.17</v>
      </c>
      <c r="G23" s="167">
        <v>7.7</v>
      </c>
      <c r="H23" s="167"/>
      <c r="I23" s="167">
        <f t="shared" si="1"/>
        <v>2511.509</v>
      </c>
      <c r="J23" s="167">
        <v>108.74</v>
      </c>
      <c r="K23" s="167">
        <v>8.25</v>
      </c>
      <c r="L23" s="167">
        <f t="shared" si="2"/>
        <v>897.1049999999999</v>
      </c>
      <c r="M23" s="171">
        <v>0.06</v>
      </c>
      <c r="N23" s="167"/>
      <c r="O23" s="167">
        <f t="shared" si="3"/>
        <v>0</v>
      </c>
      <c r="P23" s="171">
        <v>40.32</v>
      </c>
      <c r="Q23" s="167"/>
      <c r="R23" s="167"/>
      <c r="S23" s="167">
        <f t="shared" si="4"/>
        <v>0</v>
      </c>
      <c r="T23" s="167">
        <f t="shared" si="5"/>
        <v>220818.20600000001</v>
      </c>
      <c r="U23" s="167">
        <v>4406.41</v>
      </c>
      <c r="V23" s="167">
        <f t="shared" si="6"/>
        <v>50.112950451728281</v>
      </c>
      <c r="X23" s="27">
        <v>34.501181509378227</v>
      </c>
    </row>
    <row r="24" spans="1:24" ht="27" customHeight="1" x14ac:dyDescent="0.25">
      <c r="A24" s="174">
        <f t="shared" si="7"/>
        <v>21</v>
      </c>
      <c r="B24" s="173" t="s">
        <v>120</v>
      </c>
      <c r="C24" s="167">
        <v>2898</v>
      </c>
      <c r="D24" s="167"/>
      <c r="E24" s="167">
        <f t="shared" si="0"/>
        <v>0</v>
      </c>
      <c r="F24" s="167">
        <v>24</v>
      </c>
      <c r="G24" s="167"/>
      <c r="H24" s="167">
        <v>829</v>
      </c>
      <c r="I24" s="167">
        <f t="shared" si="1"/>
        <v>0</v>
      </c>
      <c r="J24" s="167">
        <v>2.1</v>
      </c>
      <c r="K24" s="167"/>
      <c r="L24" s="167">
        <f t="shared" si="2"/>
        <v>0</v>
      </c>
      <c r="M24" s="171">
        <v>3495</v>
      </c>
      <c r="N24" s="167">
        <v>54.84</v>
      </c>
      <c r="O24" s="167">
        <f t="shared" si="3"/>
        <v>191665.80000000002</v>
      </c>
      <c r="P24" s="171">
        <v>1.6</v>
      </c>
      <c r="Q24" s="167">
        <v>15.54</v>
      </c>
      <c r="R24" s="167">
        <v>1692.67</v>
      </c>
      <c r="S24" s="167">
        <f t="shared" si="4"/>
        <v>24.864000000000001</v>
      </c>
      <c r="T24" s="167">
        <f t="shared" si="5"/>
        <v>191690.66400000002</v>
      </c>
      <c r="U24" s="167">
        <v>3532.2599999999998</v>
      </c>
      <c r="V24" s="167">
        <f t="shared" si="6"/>
        <v>54.268560072021884</v>
      </c>
      <c r="X24" s="27">
        <v>47.193829670489237</v>
      </c>
    </row>
    <row r="25" spans="1:24" ht="27" customHeight="1" x14ac:dyDescent="0.25">
      <c r="A25" s="174">
        <f t="shared" si="7"/>
        <v>22</v>
      </c>
      <c r="B25" s="173" t="s">
        <v>54</v>
      </c>
      <c r="C25" s="167">
        <v>197.75399999999999</v>
      </c>
      <c r="D25" s="167"/>
      <c r="E25" s="167">
        <f t="shared" si="0"/>
        <v>0</v>
      </c>
      <c r="F25" s="167">
        <v>1636.8</v>
      </c>
      <c r="G25" s="167">
        <v>10.07</v>
      </c>
      <c r="H25" s="167">
        <v>372</v>
      </c>
      <c r="I25" s="167">
        <f t="shared" si="1"/>
        <v>16482.576000000001</v>
      </c>
      <c r="J25" s="167">
        <v>476.72199999999998</v>
      </c>
      <c r="K25" s="167">
        <v>11.58</v>
      </c>
      <c r="L25" s="167">
        <f t="shared" si="2"/>
        <v>5520.4407599999995</v>
      </c>
      <c r="M25" s="171">
        <v>2830</v>
      </c>
      <c r="N25" s="167">
        <v>50.17</v>
      </c>
      <c r="O25" s="167">
        <f t="shared" si="3"/>
        <v>141981.1</v>
      </c>
      <c r="P25" s="171">
        <v>1547.9079999999999</v>
      </c>
      <c r="Q25" s="167">
        <v>18.73</v>
      </c>
      <c r="R25" s="167">
        <v>1773</v>
      </c>
      <c r="S25" s="167">
        <f t="shared" si="4"/>
        <v>28992.31684</v>
      </c>
      <c r="T25" s="167">
        <f t="shared" si="5"/>
        <v>192976.43359999999</v>
      </c>
      <c r="U25" s="167">
        <v>5516.07</v>
      </c>
      <c r="V25" s="167">
        <f t="shared" si="6"/>
        <v>34.984406216744894</v>
      </c>
    </row>
    <row r="26" spans="1:24" ht="27" customHeight="1" x14ac:dyDescent="0.25">
      <c r="A26" s="174">
        <f t="shared" si="7"/>
        <v>23</v>
      </c>
      <c r="B26" s="173" t="s">
        <v>127</v>
      </c>
      <c r="C26" s="167">
        <v>10.65</v>
      </c>
      <c r="D26" s="167"/>
      <c r="E26" s="167">
        <f t="shared" si="0"/>
        <v>0</v>
      </c>
      <c r="F26" s="167">
        <v>0</v>
      </c>
      <c r="G26" s="167"/>
      <c r="H26" s="167"/>
      <c r="I26" s="167">
        <f t="shared" si="1"/>
        <v>0</v>
      </c>
      <c r="J26" s="167">
        <v>2.91</v>
      </c>
      <c r="K26" s="167"/>
      <c r="L26" s="167">
        <f t="shared" si="2"/>
        <v>0</v>
      </c>
      <c r="M26" s="171">
        <v>0.32</v>
      </c>
      <c r="N26" s="167"/>
      <c r="O26" s="167">
        <f t="shared" si="3"/>
        <v>0</v>
      </c>
      <c r="P26" s="171"/>
      <c r="Q26" s="167"/>
      <c r="R26" s="167"/>
      <c r="S26" s="167">
        <f t="shared" si="4"/>
        <v>0</v>
      </c>
      <c r="T26" s="167">
        <f t="shared" si="5"/>
        <v>0</v>
      </c>
      <c r="U26" s="167">
        <v>0</v>
      </c>
      <c r="V26" s="167">
        <v>0</v>
      </c>
    </row>
    <row r="27" spans="1:24" ht="27" customHeight="1" x14ac:dyDescent="0.25">
      <c r="A27" s="174">
        <f t="shared" si="7"/>
        <v>24</v>
      </c>
      <c r="B27" s="173" t="s">
        <v>58</v>
      </c>
      <c r="C27" s="167">
        <v>1442.83</v>
      </c>
      <c r="D27" s="167">
        <v>54.9</v>
      </c>
      <c r="E27" s="167">
        <f t="shared" si="0"/>
        <v>79211.366999999998</v>
      </c>
      <c r="F27" s="167">
        <v>165.97</v>
      </c>
      <c r="G27" s="167">
        <v>8.26</v>
      </c>
      <c r="H27" s="167">
        <v>538</v>
      </c>
      <c r="I27" s="167">
        <f t="shared" si="1"/>
        <v>1370.9122</v>
      </c>
      <c r="J27" s="167">
        <v>429.78</v>
      </c>
      <c r="K27" s="167">
        <v>8.6</v>
      </c>
      <c r="L27" s="167">
        <f t="shared" si="2"/>
        <v>3696.1079999999997</v>
      </c>
      <c r="M27" s="171"/>
      <c r="N27" s="167">
        <v>23.86</v>
      </c>
      <c r="O27" s="167">
        <f t="shared" si="3"/>
        <v>0</v>
      </c>
      <c r="P27" s="171">
        <v>5.23</v>
      </c>
      <c r="Q27" s="167">
        <v>11.37</v>
      </c>
      <c r="R27" s="167">
        <v>1349</v>
      </c>
      <c r="S27" s="167">
        <f t="shared" si="4"/>
        <v>59.4651</v>
      </c>
      <c r="T27" s="167">
        <f t="shared" si="5"/>
        <v>84337.852299999999</v>
      </c>
      <c r="U27" s="167">
        <v>1894.2600000000002</v>
      </c>
      <c r="V27" s="167">
        <f t="shared" si="6"/>
        <v>44.522849186489708</v>
      </c>
    </row>
    <row r="28" spans="1:24" ht="27" customHeight="1" x14ac:dyDescent="0.25">
      <c r="A28" s="174">
        <v>25</v>
      </c>
      <c r="B28" s="173" t="s">
        <v>60</v>
      </c>
      <c r="C28" s="167">
        <v>1682.17</v>
      </c>
      <c r="D28" s="167">
        <v>52.4</v>
      </c>
      <c r="E28" s="167">
        <f>C28*D28</f>
        <v>88145.707999999999</v>
      </c>
      <c r="F28" s="167">
        <v>146</v>
      </c>
      <c r="G28" s="167"/>
      <c r="H28" s="167"/>
      <c r="I28" s="167"/>
      <c r="J28" s="167">
        <v>52</v>
      </c>
      <c r="K28" s="167"/>
      <c r="L28" s="167">
        <f>J28*K28</f>
        <v>0</v>
      </c>
      <c r="M28" s="171">
        <v>5</v>
      </c>
      <c r="N28" s="167"/>
      <c r="O28" s="167"/>
      <c r="P28" s="171">
        <v>102</v>
      </c>
      <c r="Q28" s="167"/>
      <c r="R28" s="167"/>
      <c r="S28" s="167"/>
      <c r="T28" s="167">
        <f t="shared" si="5"/>
        <v>88145.707999999999</v>
      </c>
      <c r="U28" s="167"/>
      <c r="V28" s="167"/>
    </row>
    <row r="29" spans="1:24" ht="27" customHeight="1" x14ac:dyDescent="0.25">
      <c r="A29" s="174">
        <v>26</v>
      </c>
      <c r="B29" s="173" t="s">
        <v>128</v>
      </c>
      <c r="C29" s="167">
        <v>277.10599999999999</v>
      </c>
      <c r="D29" s="167">
        <v>59</v>
      </c>
      <c r="E29" s="167">
        <f t="shared" si="0"/>
        <v>16349.253999999999</v>
      </c>
      <c r="F29" s="167">
        <v>3.4279999999999999</v>
      </c>
      <c r="G29" s="167">
        <v>11.26</v>
      </c>
      <c r="H29" s="167"/>
      <c r="I29" s="167">
        <f t="shared" si="1"/>
        <v>38.59928</v>
      </c>
      <c r="J29" s="167">
        <v>3.84</v>
      </c>
      <c r="K29" s="167">
        <v>13.2</v>
      </c>
      <c r="L29" s="167">
        <f t="shared" si="2"/>
        <v>50.687999999999995</v>
      </c>
      <c r="M29" s="171">
        <v>0.2</v>
      </c>
      <c r="N29" s="167"/>
      <c r="O29" s="167">
        <f t="shared" si="3"/>
        <v>0</v>
      </c>
      <c r="P29" s="171">
        <v>0.25</v>
      </c>
      <c r="Q29" s="167"/>
      <c r="R29" s="167"/>
      <c r="S29" s="167">
        <f t="shared" si="4"/>
        <v>0</v>
      </c>
      <c r="T29" s="167">
        <f t="shared" si="5"/>
        <v>16438.541279999998</v>
      </c>
      <c r="U29" s="167">
        <v>258.85999999999996</v>
      </c>
      <c r="V29" s="167">
        <f t="shared" si="6"/>
        <v>63.50359762033532</v>
      </c>
    </row>
    <row r="30" spans="1:24" ht="27" customHeight="1" x14ac:dyDescent="0.25">
      <c r="A30" s="174">
        <f t="shared" si="7"/>
        <v>27</v>
      </c>
      <c r="B30" s="173" t="s">
        <v>121</v>
      </c>
      <c r="C30" s="167">
        <v>5992</v>
      </c>
      <c r="D30" s="167">
        <v>49.9</v>
      </c>
      <c r="E30" s="167">
        <f t="shared" si="0"/>
        <v>299000.8</v>
      </c>
      <c r="F30" s="167">
        <v>92</v>
      </c>
      <c r="G30" s="167"/>
      <c r="H30" s="167">
        <v>476</v>
      </c>
      <c r="I30" s="167">
        <f t="shared" si="1"/>
        <v>0</v>
      </c>
      <c r="J30" s="167">
        <v>644</v>
      </c>
      <c r="K30" s="167"/>
      <c r="L30" s="167">
        <f t="shared" si="2"/>
        <v>0</v>
      </c>
      <c r="M30" s="171">
        <v>9655</v>
      </c>
      <c r="N30" s="167">
        <v>50.98</v>
      </c>
      <c r="O30" s="167">
        <f t="shared" si="3"/>
        <v>492211.89999999997</v>
      </c>
      <c r="P30" s="171">
        <v>562</v>
      </c>
      <c r="Q30" s="167">
        <v>20.2</v>
      </c>
      <c r="R30" s="167">
        <v>1794.67</v>
      </c>
      <c r="S30" s="167">
        <f t="shared" si="4"/>
        <v>11352.4</v>
      </c>
      <c r="T30" s="167">
        <f t="shared" si="5"/>
        <v>802565.1</v>
      </c>
      <c r="U30" s="167">
        <v>17471.68</v>
      </c>
      <c r="V30" s="167">
        <f t="shared" si="6"/>
        <v>45.935199133683767</v>
      </c>
    </row>
    <row r="31" spans="1:24" ht="27" customHeight="1" x14ac:dyDescent="0.25">
      <c r="A31" s="174">
        <f t="shared" si="7"/>
        <v>28</v>
      </c>
      <c r="B31" s="173" t="s">
        <v>122</v>
      </c>
      <c r="C31" s="167">
        <v>261</v>
      </c>
      <c r="D31" s="167">
        <v>46.7</v>
      </c>
      <c r="E31" s="167">
        <f t="shared" si="0"/>
        <v>12188.7</v>
      </c>
      <c r="F31" s="167">
        <v>0</v>
      </c>
      <c r="G31" s="167"/>
      <c r="H31" s="167"/>
      <c r="I31" s="167">
        <f t="shared" si="1"/>
        <v>0</v>
      </c>
      <c r="J31" s="167">
        <v>15</v>
      </c>
      <c r="K31" s="167"/>
      <c r="L31" s="167">
        <f t="shared" si="2"/>
        <v>0</v>
      </c>
      <c r="M31" s="171">
        <v>341</v>
      </c>
      <c r="N31" s="167">
        <v>32.700000000000003</v>
      </c>
      <c r="O31" s="167">
        <f t="shared" si="3"/>
        <v>11150.7</v>
      </c>
      <c r="P31" s="171">
        <v>1</v>
      </c>
      <c r="Q31" s="167">
        <v>21.35</v>
      </c>
      <c r="R31" s="167">
        <v>1999</v>
      </c>
      <c r="S31" s="167">
        <f t="shared" si="4"/>
        <v>21.35</v>
      </c>
      <c r="T31" s="167">
        <f t="shared" si="5"/>
        <v>23360.75</v>
      </c>
      <c r="U31" s="167">
        <v>677.1</v>
      </c>
      <c r="V31" s="167">
        <f t="shared" si="6"/>
        <v>34.501181509378227</v>
      </c>
    </row>
    <row r="32" spans="1:24" ht="27" customHeight="1" x14ac:dyDescent="0.25">
      <c r="A32" s="174">
        <f t="shared" si="7"/>
        <v>29</v>
      </c>
      <c r="B32" s="173" t="s">
        <v>68</v>
      </c>
      <c r="C32" s="167">
        <v>5496.473</v>
      </c>
      <c r="D32" s="167">
        <v>47.9</v>
      </c>
      <c r="E32" s="167">
        <f t="shared" si="0"/>
        <v>263281.05670000002</v>
      </c>
      <c r="F32" s="167">
        <v>3.9979999999999998</v>
      </c>
      <c r="G32" s="167">
        <v>13.37</v>
      </c>
      <c r="H32" s="167"/>
      <c r="I32" s="167">
        <f t="shared" si="1"/>
        <v>53.453259999999993</v>
      </c>
      <c r="J32" s="167">
        <v>77.72</v>
      </c>
      <c r="K32" s="167"/>
      <c r="L32" s="167">
        <f t="shared" si="2"/>
        <v>0</v>
      </c>
      <c r="M32" s="171">
        <v>321.62099999999998</v>
      </c>
      <c r="N32" s="167">
        <v>38.86</v>
      </c>
      <c r="O32" s="167">
        <f t="shared" si="3"/>
        <v>12498.192059999999</v>
      </c>
      <c r="P32" s="171">
        <v>28.122</v>
      </c>
      <c r="Q32" s="167">
        <v>15.36</v>
      </c>
      <c r="R32" s="167">
        <v>1135.33</v>
      </c>
      <c r="S32" s="167">
        <f t="shared" si="4"/>
        <v>431.95391999999998</v>
      </c>
      <c r="T32" s="167">
        <f t="shared" si="5"/>
        <v>276264.65593999997</v>
      </c>
      <c r="U32" s="167">
        <v>5853.829999999999</v>
      </c>
      <c r="V32" s="167">
        <f t="shared" si="6"/>
        <v>47.193829670489237</v>
      </c>
    </row>
    <row r="33" spans="1:22" ht="27" customHeight="1" x14ac:dyDescent="0.25">
      <c r="A33" s="174"/>
      <c r="B33" s="173" t="s">
        <v>265</v>
      </c>
      <c r="C33" s="167">
        <f>SUM(C4:C32)</f>
        <v>43950.132999999994</v>
      </c>
      <c r="D33" s="167">
        <f>SUM(D4:D32)</f>
        <v>974.12</v>
      </c>
      <c r="E33" s="167">
        <f t="shared" si="0"/>
        <v>42812703.557959996</v>
      </c>
      <c r="F33" s="167">
        <f>SUM(F4:F32)</f>
        <v>4325.2649999999994</v>
      </c>
      <c r="G33" s="167">
        <f>SUM(G4:G32)</f>
        <v>107.06000000000003</v>
      </c>
      <c r="H33" s="167">
        <v>5658</v>
      </c>
      <c r="I33" s="167">
        <f t="shared" si="1"/>
        <v>463062.8709000001</v>
      </c>
      <c r="J33" s="167">
        <f>SUM(J4:J32)</f>
        <v>4475.6549999999997</v>
      </c>
      <c r="K33" s="167"/>
      <c r="L33" s="167">
        <f t="shared" si="2"/>
        <v>0</v>
      </c>
      <c r="M33" s="167">
        <f>SUM(M4:M32)</f>
        <v>30765.424999999999</v>
      </c>
      <c r="N33" s="167">
        <f>SUM(N4:N32)</f>
        <v>670.38000000000011</v>
      </c>
      <c r="O33" s="167">
        <f t="shared" si="3"/>
        <v>20624525.611500002</v>
      </c>
      <c r="P33" s="167">
        <f>SUM(P4:P32)</f>
        <v>9626.0349999999999</v>
      </c>
      <c r="Q33" s="167">
        <f>SUM(Q4:Q32)</f>
        <v>271.45</v>
      </c>
      <c r="R33" s="167">
        <v>22075</v>
      </c>
      <c r="S33" s="167">
        <f t="shared" si="4"/>
        <v>2612987.2007499998</v>
      </c>
      <c r="T33" s="167">
        <f>SUM(T4:T32)</f>
        <v>3548853.4437600002</v>
      </c>
      <c r="U33" s="167">
        <f>SUM(U4:U32)</f>
        <v>84095.840000000011</v>
      </c>
      <c r="V33" s="167">
        <f>SUM(V4:V32)</f>
        <v>928.46955271964055</v>
      </c>
    </row>
    <row r="34" spans="1:22" s="166" customFormat="1" ht="27" customHeight="1" x14ac:dyDescent="0.25">
      <c r="A34" s="170"/>
      <c r="B34" s="169" t="s">
        <v>283</v>
      </c>
      <c r="C34" s="168">
        <v>43173.08</v>
      </c>
      <c r="D34" s="168">
        <v>33.630000000000003</v>
      </c>
      <c r="E34" s="168">
        <f t="shared" si="0"/>
        <v>1451910.6804000002</v>
      </c>
      <c r="F34" s="168">
        <v>2140.3000000000002</v>
      </c>
      <c r="G34" s="168">
        <f t="shared" ref="G34" si="8">SUM(H34/100)</f>
        <v>56.58</v>
      </c>
      <c r="H34" s="168">
        <v>5658</v>
      </c>
      <c r="I34" s="168">
        <f t="shared" si="1"/>
        <v>121098.17400000001</v>
      </c>
      <c r="J34" s="168">
        <v>2344.5</v>
      </c>
      <c r="K34" s="168">
        <f>SUM(K4:K32)</f>
        <v>97.36</v>
      </c>
      <c r="L34" s="168">
        <f t="shared" si="2"/>
        <v>228260.52</v>
      </c>
      <c r="M34" s="168">
        <v>29600.76</v>
      </c>
      <c r="N34" s="168">
        <v>38.44</v>
      </c>
      <c r="O34" s="168">
        <f t="shared" si="3"/>
        <v>1137853.2143999999</v>
      </c>
      <c r="P34" s="168">
        <v>8916.08</v>
      </c>
      <c r="Q34" s="168">
        <f t="shared" ref="Q34" si="9">SUM(R34/100)</f>
        <v>14.717000000000001</v>
      </c>
      <c r="R34" s="168">
        <v>1471.7</v>
      </c>
      <c r="S34" s="168">
        <f t="shared" si="4"/>
        <v>131217.94936</v>
      </c>
      <c r="T34" s="168"/>
      <c r="U34" s="168"/>
      <c r="V34" s="168"/>
    </row>
  </sheetData>
  <mergeCells count="11">
    <mergeCell ref="A1:V1"/>
    <mergeCell ref="A2:A3"/>
    <mergeCell ref="B2:B3"/>
    <mergeCell ref="C2:E2"/>
    <mergeCell ref="F2:I2"/>
    <mergeCell ref="J2:L2"/>
    <mergeCell ref="M2:O2"/>
    <mergeCell ref="P2:R2"/>
    <mergeCell ref="T2:T3"/>
    <mergeCell ref="U2:U3"/>
    <mergeCell ref="V2:V3"/>
  </mergeCells>
  <pageMargins left="0.54" right="0.2" top="0.75" bottom="0.75" header="0.3" footer="0.3"/>
  <pageSetup paperSize="5"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1"/>
  <sheetViews>
    <sheetView topLeftCell="A16" zoomScaleNormal="100" workbookViewId="0">
      <selection activeCell="H33" sqref="H33:H41"/>
    </sheetView>
  </sheetViews>
  <sheetFormatPr defaultRowHeight="15" x14ac:dyDescent="0.25"/>
  <cols>
    <col min="1" max="1" width="9.140625" style="27"/>
    <col min="2" max="2" width="12.5703125" style="27" customWidth="1"/>
    <col min="3" max="3" width="27.7109375" style="27" customWidth="1"/>
    <col min="4" max="4" width="20.42578125" style="27" customWidth="1"/>
    <col min="5" max="5" width="17.85546875" style="27" customWidth="1"/>
    <col min="6" max="6" width="24.28515625" style="27" customWidth="1"/>
    <col min="7" max="7" width="16.140625" style="27" customWidth="1"/>
    <col min="8" max="8" width="11.85546875" style="27" customWidth="1"/>
    <col min="9" max="16384" width="9.140625" style="27"/>
  </cols>
  <sheetData>
    <row r="1" spans="2:8" ht="56.25" customHeight="1" x14ac:dyDescent="0.3">
      <c r="B1" s="228" t="s">
        <v>132</v>
      </c>
      <c r="C1" s="228"/>
      <c r="D1" s="228"/>
      <c r="E1" s="228"/>
      <c r="F1" s="228"/>
      <c r="G1" s="228"/>
      <c r="H1" s="51"/>
    </row>
    <row r="2" spans="2:8" ht="18.75" x14ac:dyDescent="0.3">
      <c r="B2" s="52"/>
      <c r="C2" s="51"/>
      <c r="D2" s="51"/>
      <c r="E2" s="51"/>
      <c r="F2" s="51"/>
      <c r="G2" s="51"/>
      <c r="H2" s="51"/>
    </row>
    <row r="3" spans="2:8" ht="18.75" x14ac:dyDescent="0.3">
      <c r="B3" s="228" t="s">
        <v>130</v>
      </c>
      <c r="C3" s="228" t="s">
        <v>133</v>
      </c>
      <c r="D3" s="229" t="s">
        <v>134</v>
      </c>
      <c r="E3" s="229"/>
      <c r="F3" s="229"/>
      <c r="G3" s="53"/>
      <c r="H3" s="51"/>
    </row>
    <row r="4" spans="2:8" ht="112.5" x14ac:dyDescent="0.3">
      <c r="B4" s="228"/>
      <c r="C4" s="228"/>
      <c r="D4" s="54" t="s">
        <v>135</v>
      </c>
      <c r="E4" s="54" t="s">
        <v>136</v>
      </c>
      <c r="F4" s="55" t="s">
        <v>10</v>
      </c>
      <c r="G4" s="56" t="s">
        <v>137</v>
      </c>
      <c r="H4" s="57" t="s">
        <v>202</v>
      </c>
    </row>
    <row r="5" spans="2:8" ht="18.75" x14ac:dyDescent="0.25">
      <c r="B5" s="58">
        <v>1</v>
      </c>
      <c r="C5" s="58">
        <v>2</v>
      </c>
      <c r="D5" s="58">
        <v>3</v>
      </c>
      <c r="E5" s="58">
        <v>4</v>
      </c>
      <c r="F5" s="59">
        <v>5</v>
      </c>
      <c r="G5" s="60">
        <v>6</v>
      </c>
      <c r="H5" s="60">
        <v>7</v>
      </c>
    </row>
    <row r="6" spans="2:8" ht="18.75" x14ac:dyDescent="0.3">
      <c r="B6" s="61">
        <v>1</v>
      </c>
      <c r="C6" s="62" t="s">
        <v>12</v>
      </c>
      <c r="D6" s="63">
        <v>4983611</v>
      </c>
      <c r="E6" s="63">
        <v>1591012</v>
      </c>
      <c r="F6" s="64">
        <f>D6+E6</f>
        <v>6574623</v>
      </c>
      <c r="G6" s="65">
        <f>F6/112819857*100</f>
        <v>5.8275406252287665</v>
      </c>
      <c r="H6" s="66">
        <f>332.48*G6/100</f>
        <v>19.375407070760605</v>
      </c>
    </row>
    <row r="7" spans="2:8" ht="18.75" x14ac:dyDescent="0.3">
      <c r="B7" s="61">
        <f>B6+1</f>
        <v>2</v>
      </c>
      <c r="C7" s="62" t="s">
        <v>18</v>
      </c>
      <c r="D7" s="63">
        <v>14744098</v>
      </c>
      <c r="E7" s="63">
        <v>948016</v>
      </c>
      <c r="F7" s="64">
        <f t="shared" ref="F7:F26" si="0">D7+E7</f>
        <v>15692114</v>
      </c>
      <c r="G7" s="65">
        <f t="shared" ref="G7:G27" si="1">F7/112819857*100</f>
        <v>13.909000079657963</v>
      </c>
      <c r="H7" s="66">
        <f t="shared" ref="H7:H27" si="2">332.48*G7/100</f>
        <v>46.244643464846796</v>
      </c>
    </row>
    <row r="8" spans="2:8" ht="18.75" x14ac:dyDescent="0.3">
      <c r="B8" s="61">
        <v>3</v>
      </c>
      <c r="C8" s="62" t="s">
        <v>20</v>
      </c>
      <c r="D8" s="63">
        <v>2182834</v>
      </c>
      <c r="E8" s="63">
        <v>831118</v>
      </c>
      <c r="F8" s="64">
        <f t="shared" si="0"/>
        <v>3013952</v>
      </c>
      <c r="G8" s="65">
        <f t="shared" si="1"/>
        <v>2.6714729836964781</v>
      </c>
      <c r="H8" s="66">
        <f t="shared" si="2"/>
        <v>8.8821133761940505</v>
      </c>
    </row>
    <row r="9" spans="2:8" ht="18.75" x14ac:dyDescent="0.3">
      <c r="B9" s="61">
        <f t="shared" ref="B9:B21" si="3">B8+1</f>
        <v>4</v>
      </c>
      <c r="C9" s="62" t="s">
        <v>22</v>
      </c>
      <c r="D9" s="63">
        <v>59900</v>
      </c>
      <c r="E9" s="63">
        <v>9817</v>
      </c>
      <c r="F9" s="64">
        <f t="shared" si="0"/>
        <v>69717</v>
      </c>
      <c r="G9" s="65">
        <f t="shared" si="1"/>
        <v>6.1794972847731937E-2</v>
      </c>
      <c r="H9" s="66">
        <f t="shared" si="2"/>
        <v>0.20545592572413918</v>
      </c>
    </row>
    <row r="10" spans="2:8" ht="18.75" x14ac:dyDescent="0.3">
      <c r="B10" s="61">
        <f t="shared" si="3"/>
        <v>5</v>
      </c>
      <c r="C10" s="62" t="s">
        <v>24</v>
      </c>
      <c r="D10" s="63">
        <v>1815634</v>
      </c>
      <c r="E10" s="63">
        <v>1429021</v>
      </c>
      <c r="F10" s="64">
        <f t="shared" si="0"/>
        <v>3244655</v>
      </c>
      <c r="G10" s="65">
        <f t="shared" si="1"/>
        <v>2.8759609223755707</v>
      </c>
      <c r="H10" s="66">
        <f t="shared" si="2"/>
        <v>9.5619948747142978</v>
      </c>
    </row>
    <row r="11" spans="2:8" ht="18.75" x14ac:dyDescent="0.3">
      <c r="B11" s="61">
        <f t="shared" si="3"/>
        <v>6</v>
      </c>
      <c r="C11" s="62" t="s">
        <v>26</v>
      </c>
      <c r="D11" s="63">
        <v>778142</v>
      </c>
      <c r="E11" s="63">
        <v>314818</v>
      </c>
      <c r="F11" s="64">
        <f t="shared" si="0"/>
        <v>1092960</v>
      </c>
      <c r="G11" s="65">
        <f t="shared" si="1"/>
        <v>0.96876563139058047</v>
      </c>
      <c r="H11" s="66">
        <f t="shared" si="2"/>
        <v>3.220951971247402</v>
      </c>
    </row>
    <row r="12" spans="2:8" ht="18.75" x14ac:dyDescent="0.3">
      <c r="B12" s="61">
        <f t="shared" si="3"/>
        <v>7</v>
      </c>
      <c r="C12" s="62" t="s">
        <v>28</v>
      </c>
      <c r="D12" s="63">
        <v>670425</v>
      </c>
      <c r="E12" s="63">
        <v>174596</v>
      </c>
      <c r="F12" s="64">
        <f t="shared" si="0"/>
        <v>845021</v>
      </c>
      <c r="G12" s="65">
        <f t="shared" si="1"/>
        <v>0.7490002402679875</v>
      </c>
      <c r="H12" s="66">
        <f t="shared" si="2"/>
        <v>2.4902759988430048</v>
      </c>
    </row>
    <row r="13" spans="2:8" ht="18.75" x14ac:dyDescent="0.3">
      <c r="B13" s="61">
        <f t="shared" si="3"/>
        <v>8</v>
      </c>
      <c r="C13" s="62" t="s">
        <v>30</v>
      </c>
      <c r="D13" s="63">
        <v>1206612</v>
      </c>
      <c r="E13" s="63">
        <v>167130</v>
      </c>
      <c r="F13" s="64">
        <f t="shared" si="0"/>
        <v>1373742</v>
      </c>
      <c r="G13" s="65">
        <f t="shared" si="1"/>
        <v>1.2176420326432429</v>
      </c>
      <c r="H13" s="66">
        <f t="shared" si="2"/>
        <v>4.0484162301322542</v>
      </c>
    </row>
    <row r="14" spans="2:8" ht="18.75" x14ac:dyDescent="0.3">
      <c r="B14" s="61">
        <f t="shared" si="3"/>
        <v>9</v>
      </c>
      <c r="C14" s="62" t="s">
        <v>32</v>
      </c>
      <c r="D14" s="63">
        <v>1848324</v>
      </c>
      <c r="E14" s="63">
        <v>428861</v>
      </c>
      <c r="F14" s="64">
        <f t="shared" si="0"/>
        <v>2277185</v>
      </c>
      <c r="G14" s="65">
        <f t="shared" si="1"/>
        <v>2.0184257102896344</v>
      </c>
      <c r="H14" s="66">
        <f t="shared" si="2"/>
        <v>6.7108618015709771</v>
      </c>
    </row>
    <row r="15" spans="2:8" ht="18.75" x14ac:dyDescent="0.3">
      <c r="B15" s="61">
        <f t="shared" si="3"/>
        <v>10</v>
      </c>
      <c r="C15" s="62" t="s">
        <v>34</v>
      </c>
      <c r="D15" s="63">
        <v>3848834</v>
      </c>
      <c r="E15" s="63">
        <v>2138208</v>
      </c>
      <c r="F15" s="64">
        <f t="shared" si="0"/>
        <v>5987042</v>
      </c>
      <c r="G15" s="65">
        <f t="shared" si="1"/>
        <v>5.3067271659456194</v>
      </c>
      <c r="H15" s="66">
        <f t="shared" si="2"/>
        <v>17.643806481335996</v>
      </c>
    </row>
    <row r="16" spans="2:8" ht="18.75" x14ac:dyDescent="0.3">
      <c r="B16" s="61">
        <f t="shared" si="3"/>
        <v>11</v>
      </c>
      <c r="C16" s="62" t="s">
        <v>36</v>
      </c>
      <c r="D16" s="63">
        <v>6579692</v>
      </c>
      <c r="E16" s="63">
        <v>180171</v>
      </c>
      <c r="F16" s="64">
        <f t="shared" si="0"/>
        <v>6759863</v>
      </c>
      <c r="G16" s="65">
        <f t="shared" si="1"/>
        <v>5.9917315796633206</v>
      </c>
      <c r="H16" s="66">
        <f t="shared" si="2"/>
        <v>19.921309156064609</v>
      </c>
    </row>
    <row r="17" spans="2:8" ht="18.75" x14ac:dyDescent="0.3">
      <c r="B17" s="61">
        <f t="shared" si="3"/>
        <v>12</v>
      </c>
      <c r="C17" s="62" t="s">
        <v>38</v>
      </c>
      <c r="D17" s="63">
        <v>3891016</v>
      </c>
      <c r="E17" s="63">
        <v>2448652</v>
      </c>
      <c r="F17" s="64">
        <f t="shared" si="0"/>
        <v>6339668</v>
      </c>
      <c r="G17" s="65">
        <f t="shared" si="1"/>
        <v>5.6192838464597594</v>
      </c>
      <c r="H17" s="66">
        <f t="shared" si="2"/>
        <v>18.682994932709409</v>
      </c>
    </row>
    <row r="18" spans="2:8" ht="18.75" x14ac:dyDescent="0.3">
      <c r="B18" s="61">
        <f t="shared" si="3"/>
        <v>13</v>
      </c>
      <c r="C18" s="62" t="s">
        <v>40</v>
      </c>
      <c r="D18" s="63">
        <v>6709034</v>
      </c>
      <c r="E18" s="63">
        <v>4052317</v>
      </c>
      <c r="F18" s="64">
        <f t="shared" si="0"/>
        <v>10761351</v>
      </c>
      <c r="G18" s="65">
        <f t="shared" si="1"/>
        <v>9.538525651561498</v>
      </c>
      <c r="H18" s="66">
        <f t="shared" si="2"/>
        <v>31.713690086311672</v>
      </c>
    </row>
    <row r="19" spans="2:8" ht="18.75" x14ac:dyDescent="0.3">
      <c r="B19" s="61">
        <f t="shared" si="3"/>
        <v>14</v>
      </c>
      <c r="C19" s="62" t="s">
        <v>138</v>
      </c>
      <c r="D19" s="63">
        <v>3368296</v>
      </c>
      <c r="E19" s="63">
        <v>918647</v>
      </c>
      <c r="F19" s="64">
        <f t="shared" si="0"/>
        <v>4286943</v>
      </c>
      <c r="G19" s="65">
        <f t="shared" si="1"/>
        <v>3.7998124745008321</v>
      </c>
      <c r="H19" s="66">
        <f t="shared" si="2"/>
        <v>12.633616515220368</v>
      </c>
    </row>
    <row r="20" spans="2:8" ht="18.75" x14ac:dyDescent="0.3">
      <c r="B20" s="61">
        <f t="shared" si="3"/>
        <v>15</v>
      </c>
      <c r="C20" s="62" t="s">
        <v>52</v>
      </c>
      <c r="D20" s="63">
        <v>164431</v>
      </c>
      <c r="E20" s="63">
        <v>195439</v>
      </c>
      <c r="F20" s="64">
        <f t="shared" si="0"/>
        <v>359870</v>
      </c>
      <c r="G20" s="65">
        <f t="shared" si="1"/>
        <v>0.31897753602009971</v>
      </c>
      <c r="H20" s="66">
        <f t="shared" si="2"/>
        <v>1.0605365117596275</v>
      </c>
    </row>
    <row r="21" spans="2:8" ht="18.75" x14ac:dyDescent="0.3">
      <c r="B21" s="61">
        <f t="shared" si="3"/>
        <v>16</v>
      </c>
      <c r="C21" s="62" t="s">
        <v>54</v>
      </c>
      <c r="D21" s="63">
        <v>2511512</v>
      </c>
      <c r="E21" s="63">
        <v>1511068</v>
      </c>
      <c r="F21" s="64">
        <f t="shared" si="0"/>
        <v>4022580</v>
      </c>
      <c r="G21" s="65">
        <f t="shared" si="1"/>
        <v>3.5654893623912325</v>
      </c>
      <c r="H21" s="66">
        <f t="shared" si="2"/>
        <v>11.854539032078371</v>
      </c>
    </row>
    <row r="22" spans="2:8" ht="18.75" x14ac:dyDescent="0.3">
      <c r="B22" s="61">
        <f>B21+1</f>
        <v>17</v>
      </c>
      <c r="C22" s="62" t="s">
        <v>58</v>
      </c>
      <c r="D22" s="63">
        <v>6266555</v>
      </c>
      <c r="E22" s="63">
        <v>1181344</v>
      </c>
      <c r="F22" s="64">
        <f t="shared" si="0"/>
        <v>7447899</v>
      </c>
      <c r="G22" s="65">
        <f t="shared" si="1"/>
        <v>6.601585215623877</v>
      </c>
      <c r="H22" s="66">
        <f t="shared" si="2"/>
        <v>21.948950524906266</v>
      </c>
    </row>
    <row r="23" spans="2:8" ht="18.75" x14ac:dyDescent="0.3">
      <c r="B23" s="61">
        <f>B22+1</f>
        <v>18</v>
      </c>
      <c r="C23" s="62" t="s">
        <v>60</v>
      </c>
      <c r="D23" s="63">
        <v>2036040</v>
      </c>
      <c r="E23" s="63">
        <v>1405047</v>
      </c>
      <c r="F23" s="64">
        <f t="shared" si="0"/>
        <v>3441087</v>
      </c>
      <c r="G23" s="65">
        <f t="shared" si="1"/>
        <v>3.050072116294209</v>
      </c>
      <c r="H23" s="66">
        <f t="shared" si="2"/>
        <v>10.140879772254987</v>
      </c>
    </row>
    <row r="24" spans="2:8" ht="18.75" x14ac:dyDescent="0.3">
      <c r="B24" s="61">
        <f>B23+1</f>
        <v>19</v>
      </c>
      <c r="C24" s="62" t="s">
        <v>64</v>
      </c>
      <c r="D24" s="63">
        <v>18532272</v>
      </c>
      <c r="E24" s="63">
        <v>3035331</v>
      </c>
      <c r="F24" s="64">
        <f t="shared" si="0"/>
        <v>21567603</v>
      </c>
      <c r="G24" s="65">
        <f t="shared" si="1"/>
        <v>19.116850148108234</v>
      </c>
      <c r="H24" s="66">
        <f t="shared" si="2"/>
        <v>63.559703372430256</v>
      </c>
    </row>
    <row r="25" spans="2:8" ht="18.75" x14ac:dyDescent="0.3">
      <c r="B25" s="61">
        <f>B24+1</f>
        <v>20</v>
      </c>
      <c r="C25" s="62" t="s">
        <v>66</v>
      </c>
      <c r="D25" s="63">
        <v>672138</v>
      </c>
      <c r="E25" s="63">
        <v>157330</v>
      </c>
      <c r="F25" s="64">
        <f t="shared" si="0"/>
        <v>829468</v>
      </c>
      <c r="G25" s="65">
        <f t="shared" si="1"/>
        <v>0.7352145464960127</v>
      </c>
      <c r="H25" s="66">
        <f t="shared" si="2"/>
        <v>2.4444413241899432</v>
      </c>
    </row>
    <row r="26" spans="2:8" ht="18.75" x14ac:dyDescent="0.3">
      <c r="C26" s="62" t="s">
        <v>68</v>
      </c>
      <c r="D26" s="63">
        <v>5852681</v>
      </c>
      <c r="E26" s="63">
        <v>979833</v>
      </c>
      <c r="F26" s="64">
        <f t="shared" si="0"/>
        <v>6832514</v>
      </c>
      <c r="G26" s="65">
        <f t="shared" si="1"/>
        <v>6.0561271585373486</v>
      </c>
      <c r="H26" s="66">
        <f t="shared" si="2"/>
        <v>20.135411576704978</v>
      </c>
    </row>
    <row r="27" spans="2:8" ht="18.75" x14ac:dyDescent="0.3">
      <c r="B27" s="61"/>
      <c r="C27" s="67" t="s">
        <v>139</v>
      </c>
      <c r="D27" s="68">
        <f>SUM(D6:D26)</f>
        <v>88722081</v>
      </c>
      <c r="E27" s="68">
        <f>SUM(E6:E26)</f>
        <v>24097776</v>
      </c>
      <c r="F27" s="64">
        <f>SUM(F6:F26)</f>
        <v>112819857</v>
      </c>
      <c r="G27" s="65">
        <f t="shared" si="1"/>
        <v>100</v>
      </c>
      <c r="H27" s="154">
        <f t="shared" si="2"/>
        <v>332.48</v>
      </c>
    </row>
    <row r="28" spans="2:8" ht="18.75" x14ac:dyDescent="0.3">
      <c r="B28" s="51"/>
      <c r="C28" s="51"/>
      <c r="D28" s="51"/>
      <c r="E28" s="51"/>
      <c r="F28" s="51"/>
      <c r="G28" s="51"/>
      <c r="H28" s="51"/>
    </row>
    <row r="29" spans="2:8" ht="18.75" x14ac:dyDescent="0.3">
      <c r="B29" s="51"/>
      <c r="C29" s="51"/>
      <c r="D29" s="51"/>
      <c r="E29" s="51"/>
      <c r="F29" s="51"/>
      <c r="G29" s="51"/>
      <c r="H29" s="51"/>
    </row>
    <row r="30" spans="2:8" ht="18.75" x14ac:dyDescent="0.3">
      <c r="B30" s="51"/>
      <c r="C30" s="51"/>
      <c r="D30" s="51"/>
      <c r="E30" s="51"/>
      <c r="F30" s="51"/>
      <c r="G30" s="51"/>
      <c r="H30" s="51"/>
    </row>
    <row r="31" spans="2:8" ht="18.75" x14ac:dyDescent="0.3">
      <c r="B31" s="230" t="s">
        <v>194</v>
      </c>
      <c r="C31" s="230"/>
      <c r="D31" s="230"/>
      <c r="E31" s="230"/>
      <c r="F31" s="230"/>
      <c r="G31" s="230"/>
      <c r="H31" s="230"/>
    </row>
    <row r="32" spans="2:8" ht="112.5" x14ac:dyDescent="0.3">
      <c r="B32" s="51"/>
      <c r="C32" s="51"/>
      <c r="D32" s="51"/>
      <c r="E32" s="51"/>
      <c r="F32" s="51"/>
      <c r="G32" s="51"/>
      <c r="H32" s="57" t="s">
        <v>203</v>
      </c>
    </row>
    <row r="33" spans="2:8" ht="18.75" x14ac:dyDescent="0.3">
      <c r="B33" s="61">
        <v>1</v>
      </c>
      <c r="C33" s="62" t="s">
        <v>14</v>
      </c>
      <c r="D33" s="63">
        <v>21456</v>
      </c>
      <c r="E33" s="63">
        <v>19333</v>
      </c>
      <c r="F33" s="64">
        <f>D33+E33</f>
        <v>40789</v>
      </c>
      <c r="G33" s="65">
        <f>F33/3372823*100</f>
        <v>1.2093430340103823</v>
      </c>
      <c r="H33" s="66">
        <f>39.22*G33/100</f>
        <v>0.47430433793887194</v>
      </c>
    </row>
    <row r="34" spans="2:8" ht="18.75" x14ac:dyDescent="0.3">
      <c r="B34" s="61">
        <v>2</v>
      </c>
      <c r="C34" s="62" t="s">
        <v>16</v>
      </c>
      <c r="D34" s="63">
        <v>1831115</v>
      </c>
      <c r="E34" s="63">
        <v>496574</v>
      </c>
      <c r="F34" s="64">
        <f>D34+E34</f>
        <v>2327689</v>
      </c>
      <c r="G34" s="65">
        <f t="shared" ref="G34:G41" si="4">F34/3372823*100</f>
        <v>69.013078954928858</v>
      </c>
      <c r="H34" s="66">
        <f t="shared" ref="H34:H41" si="5">39.22*G34/100</f>
        <v>27.0669295661231</v>
      </c>
    </row>
    <row r="35" spans="2:8" ht="18.75" x14ac:dyDescent="0.3">
      <c r="B35" s="61">
        <v>3</v>
      </c>
      <c r="C35" s="62" t="s">
        <v>42</v>
      </c>
      <c r="D35" s="63">
        <v>76735</v>
      </c>
      <c r="E35" s="63">
        <v>48850</v>
      </c>
      <c r="F35" s="64">
        <f t="shared" ref="F35:F38" si="6">D35+E35</f>
        <v>125585</v>
      </c>
      <c r="G35" s="65">
        <f t="shared" si="4"/>
        <v>3.723438792963639</v>
      </c>
      <c r="H35" s="66">
        <f t="shared" si="5"/>
        <v>1.4603326946003392</v>
      </c>
    </row>
    <row r="36" spans="2:8" ht="18.75" x14ac:dyDescent="0.3">
      <c r="B36" s="61">
        <v>4</v>
      </c>
      <c r="C36" s="62" t="s">
        <v>44</v>
      </c>
      <c r="D36" s="63">
        <v>102714</v>
      </c>
      <c r="E36" s="63">
        <v>57755</v>
      </c>
      <c r="F36" s="64">
        <f t="shared" si="6"/>
        <v>160469</v>
      </c>
      <c r="G36" s="65">
        <f t="shared" si="4"/>
        <v>4.7577059335755241</v>
      </c>
      <c r="H36" s="66">
        <f t="shared" si="5"/>
        <v>1.8659722671483205</v>
      </c>
    </row>
    <row r="37" spans="2:8" ht="18.75" x14ac:dyDescent="0.3">
      <c r="B37" s="61">
        <v>5</v>
      </c>
      <c r="C37" s="62" t="s">
        <v>46</v>
      </c>
      <c r="D37" s="63">
        <v>50210</v>
      </c>
      <c r="E37" s="63">
        <v>29753</v>
      </c>
      <c r="F37" s="64">
        <f t="shared" si="6"/>
        <v>79963</v>
      </c>
      <c r="G37" s="65">
        <f t="shared" si="4"/>
        <v>2.3708033300294735</v>
      </c>
      <c r="H37" s="66">
        <f t="shared" si="5"/>
        <v>0.92982906603755955</v>
      </c>
    </row>
    <row r="38" spans="2:8" ht="18.75" x14ac:dyDescent="0.3">
      <c r="B38" s="69">
        <v>6</v>
      </c>
      <c r="C38" s="62" t="s">
        <v>48</v>
      </c>
      <c r="D38" s="63">
        <v>6476</v>
      </c>
      <c r="E38" s="63">
        <v>20338</v>
      </c>
      <c r="F38" s="64">
        <f t="shared" si="6"/>
        <v>26814</v>
      </c>
      <c r="G38" s="65">
        <f t="shared" si="4"/>
        <v>0.79500169442630109</v>
      </c>
      <c r="H38" s="66">
        <f t="shared" si="5"/>
        <v>0.31179966455399527</v>
      </c>
    </row>
    <row r="39" spans="2:8" ht="18.75" x14ac:dyDescent="0.3">
      <c r="B39" s="69">
        <v>7</v>
      </c>
      <c r="C39" s="62" t="s">
        <v>56</v>
      </c>
      <c r="D39" s="63">
        <v>40476</v>
      </c>
      <c r="E39" s="63">
        <v>16941</v>
      </c>
      <c r="F39" s="64">
        <f>D39+E39</f>
        <v>57417</v>
      </c>
      <c r="G39" s="65">
        <f t="shared" si="4"/>
        <v>1.7023425184185474</v>
      </c>
      <c r="H39" s="66">
        <f t="shared" si="5"/>
        <v>0.66765873572375423</v>
      </c>
    </row>
    <row r="40" spans="2:8" ht="18.75" x14ac:dyDescent="0.3">
      <c r="B40" s="69">
        <v>8</v>
      </c>
      <c r="C40" s="62" t="s">
        <v>62</v>
      </c>
      <c r="D40" s="63">
        <v>499054</v>
      </c>
      <c r="E40" s="63">
        <v>55043</v>
      </c>
      <c r="F40" s="64">
        <f>D40+E40</f>
        <v>554097</v>
      </c>
      <c r="G40" s="65">
        <f t="shared" si="4"/>
        <v>16.428285741647279</v>
      </c>
      <c r="H40" s="66">
        <f t="shared" si="5"/>
        <v>6.4431736678740625</v>
      </c>
    </row>
    <row r="41" spans="2:8" ht="18.75" x14ac:dyDescent="0.3">
      <c r="B41" s="51"/>
      <c r="C41" s="51"/>
      <c r="D41" s="51"/>
      <c r="E41" s="51"/>
      <c r="F41" s="70">
        <f>SUM(F33:F40)</f>
        <v>3372823</v>
      </c>
      <c r="G41" s="65">
        <f t="shared" si="4"/>
        <v>100</v>
      </c>
      <c r="H41" s="154">
        <f t="shared" si="5"/>
        <v>39.22</v>
      </c>
    </row>
  </sheetData>
  <mergeCells count="5">
    <mergeCell ref="B1:G1"/>
    <mergeCell ref="B3:B4"/>
    <mergeCell ref="C3:C4"/>
    <mergeCell ref="D3:F3"/>
    <mergeCell ref="B31:H31"/>
  </mergeCells>
  <pageMargins left="0.7" right="0.7"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7" workbookViewId="0">
      <selection activeCell="F31" sqref="F31:F39"/>
    </sheetView>
  </sheetViews>
  <sheetFormatPr defaultRowHeight="15" x14ac:dyDescent="0.25"/>
  <cols>
    <col min="1" max="1" width="9.140625" style="27"/>
    <col min="2" max="2" width="32.140625" style="27" customWidth="1"/>
    <col min="3" max="3" width="14.7109375" style="27" customWidth="1"/>
    <col min="4" max="4" width="31.28515625" style="27" customWidth="1"/>
    <col min="5" max="5" width="13.85546875" style="27" customWidth="1"/>
    <col min="6" max="6" width="16.7109375" style="27" customWidth="1"/>
    <col min="7" max="9" width="9.140625" style="27"/>
    <col min="10" max="10" width="21.85546875" style="27" customWidth="1"/>
    <col min="11" max="16384" width="9.140625" style="27"/>
  </cols>
  <sheetData>
    <row r="1" spans="1:10" ht="15.75" x14ac:dyDescent="0.25">
      <c r="A1" s="231" t="s">
        <v>140</v>
      </c>
      <c r="B1" s="231"/>
      <c r="C1" s="231"/>
      <c r="D1" s="231"/>
      <c r="E1" s="29"/>
      <c r="F1" s="29"/>
    </row>
    <row r="2" spans="1:10" ht="15.75" x14ac:dyDescent="0.25">
      <c r="A2" s="231" t="s">
        <v>141</v>
      </c>
      <c r="B2" s="231"/>
      <c r="C2" s="231"/>
      <c r="D2" s="231"/>
      <c r="E2" s="29"/>
      <c r="F2" s="29"/>
    </row>
    <row r="3" spans="1:10" ht="15.75" x14ac:dyDescent="0.25">
      <c r="A3" s="232" t="s">
        <v>142</v>
      </c>
      <c r="B3" s="232"/>
      <c r="C3" s="232"/>
      <c r="D3" s="232"/>
      <c r="E3" s="29"/>
      <c r="F3" s="29"/>
    </row>
    <row r="4" spans="1:10" ht="31.5" x14ac:dyDescent="0.25">
      <c r="A4" s="30" t="s">
        <v>143</v>
      </c>
      <c r="B4" s="31" t="s">
        <v>144</v>
      </c>
      <c r="C4" s="31" t="s">
        <v>145</v>
      </c>
      <c r="D4" s="31" t="s">
        <v>10</v>
      </c>
      <c r="E4" s="32" t="s">
        <v>137</v>
      </c>
      <c r="F4" s="33" t="s">
        <v>204</v>
      </c>
      <c r="J4" s="34" t="e">
        <f>SUM(#REF!)</f>
        <v>#REF!</v>
      </c>
    </row>
    <row r="5" spans="1:10" ht="15.75" x14ac:dyDescent="0.25">
      <c r="A5" s="31"/>
      <c r="B5" s="31"/>
      <c r="C5" s="31"/>
      <c r="D5" s="31" t="s">
        <v>146</v>
      </c>
      <c r="E5" s="29"/>
      <c r="F5" s="29"/>
    </row>
    <row r="6" spans="1:10" ht="15.75" x14ac:dyDescent="0.25">
      <c r="A6" s="31"/>
      <c r="B6" s="31"/>
      <c r="C6" s="31">
        <v>1</v>
      </c>
      <c r="D6" s="31">
        <v>2</v>
      </c>
      <c r="E6" s="35">
        <v>3</v>
      </c>
      <c r="F6" s="36">
        <v>4</v>
      </c>
      <c r="J6" s="27">
        <v>414117494</v>
      </c>
    </row>
    <row r="7" spans="1:10" ht="15.75" x14ac:dyDescent="0.25">
      <c r="A7" s="37">
        <v>1</v>
      </c>
      <c r="B7" s="38" t="s">
        <v>220</v>
      </c>
      <c r="C7" s="37" t="s">
        <v>147</v>
      </c>
      <c r="D7" s="37">
        <v>17851313</v>
      </c>
      <c r="E7" s="39">
        <f>D7/397582568*100</f>
        <v>4.4899637048473409</v>
      </c>
      <c r="F7" s="40">
        <f>83.12*E7/100</f>
        <v>3.7320578314691102</v>
      </c>
    </row>
    <row r="8" spans="1:10" ht="15.75" x14ac:dyDescent="0.25">
      <c r="A8" s="37">
        <f>A7+1</f>
        <v>2</v>
      </c>
      <c r="B8" s="38" t="s">
        <v>148</v>
      </c>
      <c r="C8" s="37" t="s">
        <v>147</v>
      </c>
      <c r="D8" s="37">
        <v>32264872</v>
      </c>
      <c r="E8" s="39">
        <f t="shared" ref="E8:E28" si="0">D8/397582568*100</f>
        <v>8.115263242627881</v>
      </c>
      <c r="F8" s="40">
        <f t="shared" ref="F8:F28" si="1">83.12*E8/100</f>
        <v>6.7454068072722952</v>
      </c>
    </row>
    <row r="9" spans="1:10" ht="15.75" x14ac:dyDescent="0.25">
      <c r="A9" s="37">
        <f t="shared" ref="A9:A27" si="2">A8+1</f>
        <v>3</v>
      </c>
      <c r="B9" s="38" t="s">
        <v>149</v>
      </c>
      <c r="C9" s="37" t="s">
        <v>147</v>
      </c>
      <c r="D9" s="37">
        <v>8861697</v>
      </c>
      <c r="E9" s="39">
        <f t="shared" si="0"/>
        <v>2.2288947537559043</v>
      </c>
      <c r="F9" s="40">
        <f t="shared" si="1"/>
        <v>1.8526573193219076</v>
      </c>
    </row>
    <row r="10" spans="1:10" ht="15.75" x14ac:dyDescent="0.25">
      <c r="A10" s="37">
        <f t="shared" si="2"/>
        <v>4</v>
      </c>
      <c r="B10" s="38" t="s">
        <v>150</v>
      </c>
      <c r="C10" s="37" t="s">
        <v>147</v>
      </c>
      <c r="D10" s="37">
        <v>503105</v>
      </c>
      <c r="E10" s="39">
        <f t="shared" si="0"/>
        <v>0.1265410107215767</v>
      </c>
      <c r="F10" s="40">
        <f t="shared" si="1"/>
        <v>0.10518088811177456</v>
      </c>
    </row>
    <row r="11" spans="1:10" ht="15.75" x14ac:dyDescent="0.25">
      <c r="A11" s="37">
        <f t="shared" si="2"/>
        <v>5</v>
      </c>
      <c r="B11" s="38" t="s">
        <v>151</v>
      </c>
      <c r="C11" s="37" t="s">
        <v>147</v>
      </c>
      <c r="D11" s="37">
        <v>21695832</v>
      </c>
      <c r="E11" s="39">
        <f t="shared" si="0"/>
        <v>5.4569374379613143</v>
      </c>
      <c r="F11" s="40">
        <f t="shared" si="1"/>
        <v>4.5358063984334445</v>
      </c>
    </row>
    <row r="12" spans="1:10" ht="15.75" x14ac:dyDescent="0.25">
      <c r="A12" s="37">
        <f t="shared" si="2"/>
        <v>6</v>
      </c>
      <c r="B12" s="38" t="s">
        <v>152</v>
      </c>
      <c r="C12" s="37" t="s">
        <v>147</v>
      </c>
      <c r="D12" s="37">
        <v>9370426</v>
      </c>
      <c r="E12" s="39">
        <f t="shared" si="0"/>
        <v>2.3568503134171617</v>
      </c>
      <c r="F12" s="40">
        <f t="shared" si="1"/>
        <v>1.9590139805123448</v>
      </c>
    </row>
    <row r="13" spans="1:10" ht="15.75" x14ac:dyDescent="0.25">
      <c r="A13" s="37">
        <f t="shared" si="2"/>
        <v>7</v>
      </c>
      <c r="B13" s="38" t="s">
        <v>28</v>
      </c>
      <c r="C13" s="37" t="s">
        <v>147</v>
      </c>
      <c r="D13" s="37">
        <v>2419844</v>
      </c>
      <c r="E13" s="39">
        <f t="shared" si="0"/>
        <v>0.60863936066734192</v>
      </c>
      <c r="F13" s="40">
        <f t="shared" si="1"/>
        <v>0.50590103658669461</v>
      </c>
    </row>
    <row r="14" spans="1:10" ht="15.75" x14ac:dyDescent="0.25">
      <c r="A14" s="37">
        <f t="shared" si="2"/>
        <v>8</v>
      </c>
      <c r="B14" s="38" t="s">
        <v>153</v>
      </c>
      <c r="C14" s="37" t="s">
        <v>147</v>
      </c>
      <c r="D14" s="37">
        <v>4411400</v>
      </c>
      <c r="E14" s="39">
        <f t="shared" si="0"/>
        <v>1.1095556885683178</v>
      </c>
      <c r="F14" s="40">
        <f t="shared" si="1"/>
        <v>0.92226268833798575</v>
      </c>
    </row>
    <row r="15" spans="1:10" ht="15.75" x14ac:dyDescent="0.25">
      <c r="A15" s="37">
        <f t="shared" si="2"/>
        <v>9</v>
      </c>
      <c r="B15" s="38" t="s">
        <v>118</v>
      </c>
      <c r="C15" s="37" t="s">
        <v>147</v>
      </c>
      <c r="D15" s="37">
        <v>10992825</v>
      </c>
      <c r="E15" s="39">
        <f t="shared" si="0"/>
        <v>2.7649162425048774</v>
      </c>
      <c r="F15" s="40">
        <f t="shared" si="1"/>
        <v>2.2981983807700543</v>
      </c>
    </row>
    <row r="16" spans="1:10" ht="15.75" x14ac:dyDescent="0.25">
      <c r="A16" s="37">
        <f t="shared" si="2"/>
        <v>10</v>
      </c>
      <c r="B16" s="38" t="s">
        <v>154</v>
      </c>
      <c r="C16" s="37" t="s">
        <v>147</v>
      </c>
      <c r="D16" s="37">
        <v>22349821</v>
      </c>
      <c r="E16" s="39">
        <f t="shared" si="0"/>
        <v>5.6214288046954817</v>
      </c>
      <c r="F16" s="40">
        <f t="shared" si="1"/>
        <v>4.672531622462885</v>
      </c>
    </row>
    <row r="17" spans="1:6" ht="15.75" x14ac:dyDescent="0.25">
      <c r="A17" s="37">
        <f t="shared" si="2"/>
        <v>11</v>
      </c>
      <c r="B17" s="38" t="s">
        <v>155</v>
      </c>
      <c r="C17" s="37" t="s">
        <v>147</v>
      </c>
      <c r="D17" s="37">
        <v>10335954</v>
      </c>
      <c r="E17" s="39">
        <f t="shared" si="0"/>
        <v>2.5996999948951482</v>
      </c>
      <c r="F17" s="40">
        <f t="shared" si="1"/>
        <v>2.1608706357568472</v>
      </c>
    </row>
    <row r="18" spans="1:6" ht="15.75" x14ac:dyDescent="0.25">
      <c r="A18" s="37">
        <f t="shared" si="2"/>
        <v>12</v>
      </c>
      <c r="B18" s="38" t="s">
        <v>156</v>
      </c>
      <c r="C18" s="37" t="s">
        <v>147</v>
      </c>
      <c r="D18" s="37">
        <v>25176834</v>
      </c>
      <c r="E18" s="39">
        <f t="shared" si="0"/>
        <v>6.3324793455230166</v>
      </c>
      <c r="F18" s="40">
        <f t="shared" si="1"/>
        <v>5.2635568319987316</v>
      </c>
    </row>
    <row r="19" spans="1:6" ht="15.75" x14ac:dyDescent="0.25">
      <c r="A19" s="37">
        <f t="shared" si="2"/>
        <v>13</v>
      </c>
      <c r="B19" s="38" t="s">
        <v>157</v>
      </c>
      <c r="C19" s="37" t="s">
        <v>147</v>
      </c>
      <c r="D19" s="37">
        <v>40661653</v>
      </c>
      <c r="E19" s="39">
        <f t="shared" si="0"/>
        <v>10.227222286063608</v>
      </c>
      <c r="F19" s="40">
        <f t="shared" si="1"/>
        <v>8.5008671641760714</v>
      </c>
    </row>
    <row r="20" spans="1:6" ht="15.75" x14ac:dyDescent="0.25">
      <c r="A20" s="37">
        <f t="shared" si="2"/>
        <v>14</v>
      </c>
      <c r="B20" s="38" t="s">
        <v>158</v>
      </c>
      <c r="C20" s="37" t="s">
        <v>147</v>
      </c>
      <c r="D20" s="37">
        <v>14385953</v>
      </c>
      <c r="E20" s="39">
        <f t="shared" si="0"/>
        <v>3.6183560744041472</v>
      </c>
      <c r="F20" s="40">
        <f t="shared" si="1"/>
        <v>3.0075775690447273</v>
      </c>
    </row>
    <row r="21" spans="1:6" ht="15.75" x14ac:dyDescent="0.25">
      <c r="A21" s="37">
        <f t="shared" si="2"/>
        <v>15</v>
      </c>
      <c r="B21" s="38" t="s">
        <v>52</v>
      </c>
      <c r="C21" s="37" t="s">
        <v>147</v>
      </c>
      <c r="D21" s="37">
        <v>10174719</v>
      </c>
      <c r="E21" s="39">
        <f t="shared" si="0"/>
        <v>2.5591461545165126</v>
      </c>
      <c r="F21" s="40">
        <f t="shared" si="1"/>
        <v>2.1271622836341253</v>
      </c>
    </row>
    <row r="22" spans="1:6" ht="15.75" x14ac:dyDescent="0.25">
      <c r="A22" s="37">
        <f t="shared" si="2"/>
        <v>16</v>
      </c>
      <c r="B22" s="38" t="s">
        <v>159</v>
      </c>
      <c r="C22" s="37" t="s">
        <v>147</v>
      </c>
      <c r="D22" s="37">
        <v>23811691</v>
      </c>
      <c r="E22" s="39">
        <f t="shared" si="0"/>
        <v>5.9891184665822674</v>
      </c>
      <c r="F22" s="40">
        <f t="shared" si="1"/>
        <v>4.9781552694231808</v>
      </c>
    </row>
    <row r="23" spans="1:6" ht="15.75" x14ac:dyDescent="0.25">
      <c r="A23" s="37">
        <f t="shared" si="2"/>
        <v>17</v>
      </c>
      <c r="B23" s="38" t="s">
        <v>160</v>
      </c>
      <c r="C23" s="37" t="s">
        <v>147</v>
      </c>
      <c r="D23" s="37">
        <v>25144641</v>
      </c>
      <c r="E23" s="39">
        <f t="shared" si="0"/>
        <v>6.3243821595317025</v>
      </c>
      <c r="F23" s="40">
        <f t="shared" si="1"/>
        <v>5.2568264510027518</v>
      </c>
    </row>
    <row r="24" spans="1:6" ht="15.75" x14ac:dyDescent="0.25">
      <c r="A24" s="37">
        <f t="shared" si="2"/>
        <v>18</v>
      </c>
      <c r="B24" s="38" t="s">
        <v>221</v>
      </c>
      <c r="C24" s="37" t="s">
        <v>147</v>
      </c>
      <c r="D24" s="37">
        <v>12757935</v>
      </c>
      <c r="E24" s="39">
        <f t="shared" si="0"/>
        <v>3.2088768539771593</v>
      </c>
      <c r="F24" s="40">
        <f t="shared" si="1"/>
        <v>2.6672184410258151</v>
      </c>
    </row>
    <row r="25" spans="1:6" ht="15.75" x14ac:dyDescent="0.25">
      <c r="A25" s="37">
        <f t="shared" si="2"/>
        <v>19</v>
      </c>
      <c r="B25" s="38" t="s">
        <v>64</v>
      </c>
      <c r="C25" s="37" t="s">
        <v>147</v>
      </c>
      <c r="D25" s="37">
        <v>68153539</v>
      </c>
      <c r="E25" s="39">
        <f t="shared" si="0"/>
        <v>17.14198369984873</v>
      </c>
      <c r="F25" s="40">
        <f t="shared" si="1"/>
        <v>14.248416851314264</v>
      </c>
    </row>
    <row r="26" spans="1:6" ht="15.75" x14ac:dyDescent="0.25">
      <c r="A26" s="37">
        <f t="shared" si="2"/>
        <v>20</v>
      </c>
      <c r="B26" s="38" t="s">
        <v>122</v>
      </c>
      <c r="C26" s="37" t="s">
        <v>147</v>
      </c>
      <c r="D26" s="37">
        <v>3602662</v>
      </c>
      <c r="E26" s="39">
        <f t="shared" si="0"/>
        <v>0.90614184070565185</v>
      </c>
      <c r="F26" s="40">
        <f t="shared" si="1"/>
        <v>0.75318509799453792</v>
      </c>
    </row>
    <row r="27" spans="1:6" ht="15.75" x14ac:dyDescent="0.25">
      <c r="A27" s="37">
        <f t="shared" si="2"/>
        <v>21</v>
      </c>
      <c r="B27" s="38" t="s">
        <v>161</v>
      </c>
      <c r="C27" s="37" t="s">
        <v>147</v>
      </c>
      <c r="D27" s="37">
        <v>32655852</v>
      </c>
      <c r="E27" s="39">
        <f t="shared" si="0"/>
        <v>8.2136025641848569</v>
      </c>
      <c r="F27" s="40">
        <f t="shared" si="1"/>
        <v>6.8271464513504529</v>
      </c>
    </row>
    <row r="28" spans="1:6" ht="15.75" x14ac:dyDescent="0.25">
      <c r="A28" s="37"/>
      <c r="B28" s="31" t="s">
        <v>10</v>
      </c>
      <c r="C28" s="31"/>
      <c r="D28" s="31">
        <f>SUM(D7:D27)</f>
        <v>397582568</v>
      </c>
      <c r="E28" s="39">
        <f t="shared" si="0"/>
        <v>100</v>
      </c>
      <c r="F28" s="40">
        <f t="shared" si="1"/>
        <v>83.12</v>
      </c>
    </row>
    <row r="29" spans="1:6" x14ac:dyDescent="0.25">
      <c r="A29" s="28"/>
      <c r="B29" s="28"/>
      <c r="C29" s="28"/>
      <c r="D29" s="28"/>
      <c r="E29" s="28"/>
      <c r="F29" s="28"/>
    </row>
    <row r="30" spans="1:6" ht="31.5" x14ac:dyDescent="0.25">
      <c r="A30" s="28"/>
      <c r="B30" s="28"/>
      <c r="C30" s="28"/>
      <c r="D30" s="28"/>
      <c r="E30" s="28"/>
      <c r="F30" s="33" t="s">
        <v>205</v>
      </c>
    </row>
    <row r="31" spans="1:6" ht="15.75" x14ac:dyDescent="0.25">
      <c r="A31" s="37">
        <v>1</v>
      </c>
      <c r="B31" s="38" t="s">
        <v>162</v>
      </c>
      <c r="C31" s="37" t="s">
        <v>147</v>
      </c>
      <c r="D31" s="37">
        <v>512549</v>
      </c>
      <c r="E31" s="39">
        <f>D31/16534924*100</f>
        <v>3.0997965276405264</v>
      </c>
      <c r="F31" s="40">
        <f>9.8*E31/100</f>
        <v>0.30378005970877164</v>
      </c>
    </row>
    <row r="32" spans="1:6" ht="15.75" x14ac:dyDescent="0.25">
      <c r="A32" s="37">
        <v>2</v>
      </c>
      <c r="B32" s="38" t="s">
        <v>163</v>
      </c>
      <c r="C32" s="37" t="s">
        <v>147</v>
      </c>
      <c r="D32" s="37">
        <v>11123193</v>
      </c>
      <c r="E32" s="39">
        <f t="shared" ref="E32:E39" si="3">D32/16534924*100</f>
        <v>67.270904904068502</v>
      </c>
      <c r="F32" s="40">
        <f t="shared" ref="F32:F39" si="4">9.8*E32/100</f>
        <v>6.5925486805987132</v>
      </c>
    </row>
    <row r="33" spans="1:7" ht="15.75" x14ac:dyDescent="0.25">
      <c r="A33" s="37">
        <v>3</v>
      </c>
      <c r="B33" s="38" t="s">
        <v>124</v>
      </c>
      <c r="C33" s="37" t="s">
        <v>147</v>
      </c>
      <c r="D33" s="37">
        <v>1060221</v>
      </c>
      <c r="E33" s="39">
        <f t="shared" si="3"/>
        <v>6.4120101187039023</v>
      </c>
      <c r="F33" s="40">
        <f t="shared" si="4"/>
        <v>0.62837699163298244</v>
      </c>
    </row>
    <row r="34" spans="1:7" ht="15.75" x14ac:dyDescent="0.25">
      <c r="A34" s="37">
        <v>4</v>
      </c>
      <c r="B34" s="38" t="s">
        <v>125</v>
      </c>
      <c r="C34" s="37" t="s">
        <v>147</v>
      </c>
      <c r="D34" s="37">
        <v>1052138</v>
      </c>
      <c r="E34" s="39">
        <f t="shared" si="3"/>
        <v>6.3631257089539695</v>
      </c>
      <c r="F34" s="40">
        <f t="shared" si="4"/>
        <v>0.62358631947748899</v>
      </c>
    </row>
    <row r="35" spans="1:7" ht="15.75" x14ac:dyDescent="0.25">
      <c r="A35" s="37">
        <v>5</v>
      </c>
      <c r="B35" s="38" t="s">
        <v>126</v>
      </c>
      <c r="C35" s="37" t="s">
        <v>147</v>
      </c>
      <c r="D35" s="37">
        <v>412771</v>
      </c>
      <c r="E35" s="39">
        <f t="shared" si="3"/>
        <v>2.4963586164653675</v>
      </c>
      <c r="F35" s="40">
        <f t="shared" si="4"/>
        <v>0.24464314441360602</v>
      </c>
    </row>
    <row r="36" spans="1:7" ht="15.75" x14ac:dyDescent="0.25">
      <c r="A36" s="37">
        <v>6</v>
      </c>
      <c r="B36" s="38" t="s">
        <v>164</v>
      </c>
      <c r="C36" s="37" t="s">
        <v>147</v>
      </c>
      <c r="D36" s="37">
        <v>760810</v>
      </c>
      <c r="E36" s="39">
        <f t="shared" si="3"/>
        <v>4.6012307041749931</v>
      </c>
      <c r="F36" s="40">
        <f t="shared" si="4"/>
        <v>0.45092060900914938</v>
      </c>
    </row>
    <row r="37" spans="1:7" ht="15.75" x14ac:dyDescent="0.25">
      <c r="A37" s="37">
        <v>7</v>
      </c>
      <c r="B37" s="38" t="s">
        <v>127</v>
      </c>
      <c r="C37" s="37" t="s">
        <v>147</v>
      </c>
      <c r="D37" s="37">
        <v>251098</v>
      </c>
      <c r="E37" s="39">
        <f t="shared" si="3"/>
        <v>1.5185917999985969</v>
      </c>
      <c r="F37" s="40">
        <f t="shared" si="4"/>
        <v>0.14882199639986252</v>
      </c>
    </row>
    <row r="38" spans="1:7" ht="15.75" x14ac:dyDescent="0.25">
      <c r="A38" s="37">
        <v>8</v>
      </c>
      <c r="B38" s="38" t="s">
        <v>62</v>
      </c>
      <c r="C38" s="37" t="s">
        <v>147</v>
      </c>
      <c r="D38" s="37">
        <v>1362144</v>
      </c>
      <c r="E38" s="39">
        <f t="shared" si="3"/>
        <v>8.2379816199941409</v>
      </c>
      <c r="F38" s="40">
        <f t="shared" si="4"/>
        <v>0.8073221987594259</v>
      </c>
    </row>
    <row r="39" spans="1:7" ht="15.75" x14ac:dyDescent="0.25">
      <c r="A39" s="28"/>
      <c r="B39" s="28"/>
      <c r="C39" s="28"/>
      <c r="D39" s="28">
        <f>SUM(D31:D38)</f>
        <v>16534924</v>
      </c>
      <c r="E39" s="39">
        <f t="shared" si="3"/>
        <v>100</v>
      </c>
      <c r="F39" s="40">
        <f t="shared" si="4"/>
        <v>9.8000000000000007</v>
      </c>
    </row>
    <row r="41" spans="1:7" x14ac:dyDescent="0.25">
      <c r="A41" s="233" t="s">
        <v>222</v>
      </c>
      <c r="B41" s="233"/>
      <c r="C41" s="233"/>
      <c r="D41" s="233"/>
      <c r="E41" s="233"/>
      <c r="F41" s="233"/>
      <c r="G41" s="233"/>
    </row>
  </sheetData>
  <mergeCells count="4">
    <mergeCell ref="A1:D1"/>
    <mergeCell ref="A2:D2"/>
    <mergeCell ref="A3:D3"/>
    <mergeCell ref="A41:G41"/>
  </mergeCells>
  <pageMargins left="0.7" right="0.7" top="0.75" bottom="0.75" header="0.3" footer="0.3"/>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Normal="100" workbookViewId="0">
      <selection activeCell="R27" sqref="R27"/>
    </sheetView>
  </sheetViews>
  <sheetFormatPr defaultColWidth="8.28515625" defaultRowHeight="15.75" x14ac:dyDescent="0.25"/>
  <cols>
    <col min="1" max="1" width="8.28515625" style="102"/>
    <col min="2" max="2" width="23.140625" style="102" customWidth="1"/>
    <col min="3" max="3" width="12.140625" style="102" customWidth="1"/>
    <col min="4" max="4" width="11.85546875" style="102" customWidth="1"/>
    <col min="5" max="5" width="13.85546875" style="102" customWidth="1"/>
    <col min="6" max="6" width="13.140625" style="102" customWidth="1"/>
    <col min="7" max="7" width="12.7109375" style="102" customWidth="1"/>
    <col min="8" max="8" width="15.85546875" style="102" customWidth="1"/>
    <col min="9" max="9" width="12.140625" style="102" customWidth="1"/>
    <col min="10" max="10" width="15.28515625" style="102" customWidth="1"/>
    <col min="11" max="11" width="16.42578125" style="102" customWidth="1"/>
    <col min="12" max="12" width="13.140625" style="102" customWidth="1"/>
    <col min="13" max="13" width="20" style="102" customWidth="1"/>
    <col min="14" max="14" width="10.85546875" style="102" customWidth="1"/>
    <col min="15" max="15" width="17.140625" style="102" customWidth="1"/>
    <col min="16" max="16" width="0.140625" style="102" customWidth="1"/>
    <col min="17" max="16384" width="8.28515625" style="102"/>
  </cols>
  <sheetData>
    <row r="1" spans="1:17" x14ac:dyDescent="0.25">
      <c r="A1" s="234" t="s">
        <v>219</v>
      </c>
      <c r="B1" s="234"/>
      <c r="C1" s="234"/>
      <c r="D1" s="234"/>
      <c r="E1" s="234"/>
      <c r="F1" s="234"/>
      <c r="G1" s="234"/>
      <c r="H1" s="234"/>
      <c r="I1" s="234"/>
      <c r="J1" s="234"/>
      <c r="K1" s="234"/>
      <c r="L1" s="234"/>
      <c r="M1" s="234"/>
      <c r="N1" s="235"/>
      <c r="O1" s="235"/>
      <c r="P1" s="235"/>
    </row>
    <row r="2" spans="1:17" x14ac:dyDescent="0.25">
      <c r="A2" s="236" t="s">
        <v>0</v>
      </c>
      <c r="B2" s="236"/>
      <c r="C2" s="236"/>
      <c r="D2" s="236"/>
      <c r="E2" s="236"/>
      <c r="F2" s="236"/>
      <c r="G2" s="236"/>
      <c r="H2" s="236"/>
      <c r="I2" s="236"/>
      <c r="J2" s="236"/>
      <c r="K2" s="236"/>
      <c r="L2" s="236"/>
      <c r="M2" s="236"/>
      <c r="N2" s="236"/>
      <c r="O2" s="236"/>
      <c r="P2" s="236"/>
    </row>
    <row r="3" spans="1:17" x14ac:dyDescent="0.25">
      <c r="A3" s="237" t="s">
        <v>1</v>
      </c>
      <c r="B3" s="237" t="s">
        <v>2</v>
      </c>
      <c r="C3" s="238"/>
      <c r="D3" s="238"/>
      <c r="E3" s="238"/>
      <c r="F3" s="238"/>
      <c r="G3" s="238"/>
      <c r="H3" s="238"/>
      <c r="I3" s="239"/>
      <c r="J3" s="240"/>
      <c r="K3" s="241"/>
      <c r="L3" s="242"/>
      <c r="M3" s="242"/>
      <c r="N3" s="243"/>
      <c r="O3" s="242"/>
      <c r="P3" s="244"/>
      <c r="Q3" s="245"/>
    </row>
    <row r="4" spans="1:17" x14ac:dyDescent="0.25">
      <c r="A4" s="237"/>
      <c r="B4" s="237"/>
      <c r="C4" s="239"/>
      <c r="D4" s="240"/>
      <c r="E4" s="241"/>
      <c r="F4" s="239"/>
      <c r="G4" s="240"/>
      <c r="H4" s="241"/>
      <c r="I4" s="239"/>
      <c r="J4" s="240"/>
      <c r="K4" s="241"/>
      <c r="L4" s="240"/>
      <c r="M4" s="241"/>
      <c r="N4" s="247"/>
      <c r="O4" s="248"/>
      <c r="P4" s="249"/>
      <c r="Q4" s="246"/>
    </row>
    <row r="5" spans="1:17" ht="47.25" x14ac:dyDescent="0.25">
      <c r="A5" s="237"/>
      <c r="B5" s="237"/>
      <c r="C5" s="103" t="s">
        <v>211</v>
      </c>
      <c r="D5" s="102" t="s">
        <v>212</v>
      </c>
      <c r="E5" s="99" t="s">
        <v>214</v>
      </c>
      <c r="F5" s="103" t="s">
        <v>212</v>
      </c>
      <c r="G5" s="102" t="s">
        <v>213</v>
      </c>
      <c r="H5" s="99" t="s">
        <v>214</v>
      </c>
      <c r="I5" s="99" t="s">
        <v>213</v>
      </c>
      <c r="J5" s="103" t="s">
        <v>218</v>
      </c>
      <c r="K5" s="99" t="s">
        <v>215</v>
      </c>
      <c r="L5" s="103" t="s">
        <v>216</v>
      </c>
      <c r="M5" s="99" t="s">
        <v>217</v>
      </c>
      <c r="N5" s="99" t="s">
        <v>137</v>
      </c>
      <c r="O5" s="155" t="s">
        <v>257</v>
      </c>
      <c r="P5" s="99"/>
      <c r="Q5" s="246"/>
    </row>
    <row r="6" spans="1:17" x14ac:dyDescent="0.25">
      <c r="A6" s="99">
        <v>1</v>
      </c>
      <c r="B6" s="99" t="s">
        <v>12</v>
      </c>
      <c r="C6" s="104">
        <v>3374.51</v>
      </c>
      <c r="D6" s="104">
        <v>10087.719999999999</v>
      </c>
      <c r="E6" s="105">
        <f>D6-C6</f>
        <v>6713.2099999999991</v>
      </c>
      <c r="F6" s="106">
        <v>10087.719999999999</v>
      </c>
      <c r="G6" s="106">
        <v>7456.5999999999985</v>
      </c>
      <c r="H6" s="105">
        <f>G6-F6</f>
        <v>-2631.1200000000008</v>
      </c>
      <c r="I6" s="106">
        <v>7456.5999999999985</v>
      </c>
      <c r="J6" s="106">
        <v>10900.980000000001</v>
      </c>
      <c r="K6" s="105">
        <f>J6-I6</f>
        <v>3444.3800000000028</v>
      </c>
      <c r="L6" s="106">
        <f>E6+H6+K6</f>
        <v>7526.4700000000012</v>
      </c>
      <c r="M6" s="106">
        <f>L6/3</f>
        <v>2508.8233333333337</v>
      </c>
      <c r="N6" s="100">
        <f>M6/22820.01*100</f>
        <v>10.993962462476283</v>
      </c>
      <c r="O6" s="101">
        <f>498.71*N6/100</f>
        <v>54.827990196615467</v>
      </c>
      <c r="P6" s="100"/>
      <c r="Q6" s="107"/>
    </row>
    <row r="7" spans="1:17" x14ac:dyDescent="0.25">
      <c r="A7" s="99">
        <v>2</v>
      </c>
      <c r="B7" s="99" t="s">
        <v>18</v>
      </c>
      <c r="C7" s="104">
        <v>4034.14</v>
      </c>
      <c r="D7" s="104">
        <v>5010.3099999999995</v>
      </c>
      <c r="E7" s="105">
        <f t="shared" ref="E7:E38" si="0">D7-C7</f>
        <v>976.16999999999962</v>
      </c>
      <c r="F7" s="106">
        <v>5010.3099999999995</v>
      </c>
      <c r="G7" s="106">
        <v>4465.46</v>
      </c>
      <c r="H7" s="105">
        <f t="shared" ref="H7:H38" si="1">G7-F7</f>
        <v>-544.84999999999945</v>
      </c>
      <c r="I7" s="106">
        <v>4465.46</v>
      </c>
      <c r="J7" s="106">
        <v>4145.38</v>
      </c>
      <c r="K7" s="105">
        <f t="shared" ref="K7:K38" si="2">J7-I7</f>
        <v>-320.07999999999993</v>
      </c>
      <c r="L7" s="106">
        <f t="shared" ref="L7:L38" si="3">E7+H7+K7</f>
        <v>111.24000000000024</v>
      </c>
      <c r="M7" s="106">
        <f t="shared" ref="M7:M38" si="4">L7/3</f>
        <v>37.080000000000076</v>
      </c>
      <c r="N7" s="100">
        <f t="shared" ref="N7:N27" si="5">M7/22820.01*100</f>
        <v>0.16248897349300057</v>
      </c>
      <c r="O7" s="101">
        <f t="shared" ref="O7:O27" si="6">498.71*N7/100</f>
        <v>0.8103487597069432</v>
      </c>
      <c r="P7" s="100"/>
      <c r="Q7" s="107"/>
    </row>
    <row r="8" spans="1:17" x14ac:dyDescent="0.25">
      <c r="A8" s="99">
        <v>3</v>
      </c>
      <c r="B8" s="99" t="s">
        <v>20</v>
      </c>
      <c r="C8" s="104">
        <v>5337.2699999999995</v>
      </c>
      <c r="D8" s="104">
        <v>2890.07</v>
      </c>
      <c r="E8" s="105">
        <f t="shared" si="0"/>
        <v>-2447.1999999999994</v>
      </c>
      <c r="F8" s="106">
        <v>2890.07</v>
      </c>
      <c r="G8" s="106">
        <v>3108.49</v>
      </c>
      <c r="H8" s="105">
        <f t="shared" si="1"/>
        <v>218.41999999999962</v>
      </c>
      <c r="I8" s="106">
        <v>3108.49</v>
      </c>
      <c r="J8" s="106">
        <v>4680.0200000000004</v>
      </c>
      <c r="K8" s="105">
        <f t="shared" si="2"/>
        <v>1571.5300000000007</v>
      </c>
      <c r="L8" s="106">
        <v>0</v>
      </c>
      <c r="M8" s="106">
        <f t="shared" si="4"/>
        <v>0</v>
      </c>
      <c r="N8" s="100">
        <f t="shared" si="5"/>
        <v>0</v>
      </c>
      <c r="O8" s="101">
        <f t="shared" si="6"/>
        <v>0</v>
      </c>
      <c r="P8" s="100"/>
      <c r="Q8" s="107"/>
    </row>
    <row r="9" spans="1:17" x14ac:dyDescent="0.25">
      <c r="A9" s="99">
        <v>4</v>
      </c>
      <c r="B9" s="99" t="s">
        <v>22</v>
      </c>
      <c r="C9" s="100">
        <v>547.90000000000009</v>
      </c>
      <c r="D9" s="100">
        <v>498.95</v>
      </c>
      <c r="E9" s="105">
        <f t="shared" si="0"/>
        <v>-48.950000000000102</v>
      </c>
      <c r="F9" s="106">
        <v>498.95</v>
      </c>
      <c r="G9" s="106">
        <v>578.46</v>
      </c>
      <c r="H9" s="105">
        <f t="shared" si="1"/>
        <v>79.510000000000048</v>
      </c>
      <c r="I9" s="106">
        <v>578.46</v>
      </c>
      <c r="J9" s="106">
        <v>524.31999999999994</v>
      </c>
      <c r="K9" s="105">
        <f t="shared" si="2"/>
        <v>-54.1400000000001</v>
      </c>
      <c r="L9" s="106">
        <v>0</v>
      </c>
      <c r="M9" s="106">
        <f t="shared" si="4"/>
        <v>0</v>
      </c>
      <c r="N9" s="100">
        <f t="shared" si="5"/>
        <v>0</v>
      </c>
      <c r="O9" s="101">
        <f t="shared" si="6"/>
        <v>0</v>
      </c>
      <c r="P9" s="100"/>
      <c r="Q9" s="107"/>
    </row>
    <row r="10" spans="1:17" x14ac:dyDescent="0.25">
      <c r="A10" s="99">
        <v>5</v>
      </c>
      <c r="B10" s="99" t="s">
        <v>24</v>
      </c>
      <c r="C10" s="104">
        <v>5174.93</v>
      </c>
      <c r="D10" s="104">
        <v>5206.72</v>
      </c>
      <c r="E10" s="105">
        <f t="shared" si="0"/>
        <v>31.789999999999964</v>
      </c>
      <c r="F10" s="106">
        <v>5206.72</v>
      </c>
      <c r="G10" s="106">
        <v>5102.43</v>
      </c>
      <c r="H10" s="105">
        <f t="shared" si="1"/>
        <v>-104.28999999999996</v>
      </c>
      <c r="I10" s="106">
        <v>5102.43</v>
      </c>
      <c r="J10" s="106">
        <v>5955.25</v>
      </c>
      <c r="K10" s="105">
        <f t="shared" si="2"/>
        <v>852.81999999999971</v>
      </c>
      <c r="L10" s="106">
        <f t="shared" si="3"/>
        <v>780.31999999999971</v>
      </c>
      <c r="M10" s="106">
        <f t="shared" si="4"/>
        <v>260.10666666666657</v>
      </c>
      <c r="N10" s="100">
        <f t="shared" si="5"/>
        <v>1.1398183728520128</v>
      </c>
      <c r="O10" s="101">
        <f t="shared" si="6"/>
        <v>5.6843882072502732</v>
      </c>
      <c r="P10" s="100"/>
      <c r="Q10" s="107"/>
    </row>
    <row r="11" spans="1:17" x14ac:dyDescent="0.25">
      <c r="A11" s="99">
        <v>6</v>
      </c>
      <c r="B11" s="99" t="s">
        <v>26</v>
      </c>
      <c r="C11" s="104">
        <v>2939.1600000000003</v>
      </c>
      <c r="D11" s="106">
        <v>3313.9100000000003</v>
      </c>
      <c r="E11" s="105">
        <f t="shared" si="0"/>
        <v>374.75</v>
      </c>
      <c r="F11" s="106">
        <v>3313.9100000000003</v>
      </c>
      <c r="G11" s="106">
        <v>4323.67</v>
      </c>
      <c r="H11" s="105">
        <f t="shared" si="1"/>
        <v>1009.7599999999998</v>
      </c>
      <c r="I11" s="106">
        <v>4323.67</v>
      </c>
      <c r="J11" s="106">
        <v>4398.45</v>
      </c>
      <c r="K11" s="105">
        <f t="shared" si="2"/>
        <v>74.779999999999745</v>
      </c>
      <c r="L11" s="106">
        <f t="shared" si="3"/>
        <v>1459.2899999999995</v>
      </c>
      <c r="M11" s="106">
        <f t="shared" si="4"/>
        <v>486.42999999999984</v>
      </c>
      <c r="N11" s="100">
        <f t="shared" si="5"/>
        <v>2.1315941579341984</v>
      </c>
      <c r="O11" s="101">
        <f t="shared" si="6"/>
        <v>10.63047322503364</v>
      </c>
      <c r="P11" s="100"/>
      <c r="Q11" s="107"/>
    </row>
    <row r="12" spans="1:17" x14ac:dyDescent="0.25">
      <c r="A12" s="99">
        <v>7</v>
      </c>
      <c r="B12" s="99" t="s">
        <v>28</v>
      </c>
      <c r="C12" s="104">
        <v>2253.08</v>
      </c>
      <c r="D12" s="104">
        <v>2589.09</v>
      </c>
      <c r="E12" s="105">
        <f t="shared" si="0"/>
        <v>336.01000000000022</v>
      </c>
      <c r="F12" s="106">
        <v>2589.09</v>
      </c>
      <c r="G12" s="106">
        <v>2550.75</v>
      </c>
      <c r="H12" s="105">
        <f t="shared" si="1"/>
        <v>-38.340000000000146</v>
      </c>
      <c r="I12" s="106">
        <v>2550.75</v>
      </c>
      <c r="J12" s="106">
        <v>2699.39</v>
      </c>
      <c r="K12" s="105">
        <f t="shared" si="2"/>
        <v>148.63999999999987</v>
      </c>
      <c r="L12" s="106">
        <f t="shared" si="3"/>
        <v>446.30999999999995</v>
      </c>
      <c r="M12" s="106">
        <f t="shared" si="4"/>
        <v>148.76999999999998</v>
      </c>
      <c r="N12" s="100">
        <f t="shared" si="5"/>
        <v>0.65192784753380906</v>
      </c>
      <c r="O12" s="101">
        <f t="shared" si="6"/>
        <v>3.2512293684358586</v>
      </c>
      <c r="P12" s="100"/>
      <c r="Q12" s="107"/>
    </row>
    <row r="13" spans="1:17" x14ac:dyDescent="0.25">
      <c r="A13" s="99">
        <v>8</v>
      </c>
      <c r="B13" s="99" t="s">
        <v>30</v>
      </c>
      <c r="C13" s="104">
        <v>1250.0899999999999</v>
      </c>
      <c r="D13" s="104">
        <v>478.25</v>
      </c>
      <c r="E13" s="105">
        <f t="shared" si="0"/>
        <v>-771.83999999999992</v>
      </c>
      <c r="F13" s="106">
        <v>478.25</v>
      </c>
      <c r="G13" s="106">
        <v>526.03</v>
      </c>
      <c r="H13" s="105">
        <f t="shared" si="1"/>
        <v>47.779999999999973</v>
      </c>
      <c r="I13" s="106">
        <v>526.03</v>
      </c>
      <c r="J13" s="106">
        <v>1295.07</v>
      </c>
      <c r="K13" s="105">
        <f t="shared" si="2"/>
        <v>769.04</v>
      </c>
      <c r="L13" s="106">
        <f t="shared" si="3"/>
        <v>44.980000000000018</v>
      </c>
      <c r="M13" s="106">
        <f t="shared" si="4"/>
        <v>14.993333333333339</v>
      </c>
      <c r="N13" s="100">
        <f t="shared" si="5"/>
        <v>6.5702571266766929E-2</v>
      </c>
      <c r="O13" s="101">
        <f t="shared" si="6"/>
        <v>0.32766529316449339</v>
      </c>
      <c r="P13" s="100"/>
      <c r="Q13" s="107"/>
    </row>
    <row r="14" spans="1:17" x14ac:dyDescent="0.25">
      <c r="A14" s="99">
        <v>9</v>
      </c>
      <c r="B14" s="99" t="s">
        <v>32</v>
      </c>
      <c r="C14" s="104">
        <v>1523.24</v>
      </c>
      <c r="D14" s="104">
        <v>2055.2199999999998</v>
      </c>
      <c r="E14" s="105">
        <f t="shared" si="0"/>
        <v>531.97999999999979</v>
      </c>
      <c r="F14" s="106">
        <v>2055.2199999999998</v>
      </c>
      <c r="G14" s="106">
        <v>2212.8200000000002</v>
      </c>
      <c r="H14" s="105">
        <f t="shared" si="1"/>
        <v>157.60000000000036</v>
      </c>
      <c r="I14" s="106">
        <v>2212.8200000000002</v>
      </c>
      <c r="J14" s="106">
        <v>4178.96</v>
      </c>
      <c r="K14" s="105">
        <f t="shared" si="2"/>
        <v>1966.1399999999999</v>
      </c>
      <c r="L14" s="106">
        <f t="shared" si="3"/>
        <v>2655.7200000000003</v>
      </c>
      <c r="M14" s="106">
        <f t="shared" si="4"/>
        <v>885.24000000000012</v>
      </c>
      <c r="N14" s="100">
        <f t="shared" si="5"/>
        <v>3.8792270467891998</v>
      </c>
      <c r="O14" s="101">
        <f t="shared" si="6"/>
        <v>19.346093205042418</v>
      </c>
      <c r="P14" s="100"/>
      <c r="Q14" s="107"/>
    </row>
    <row r="15" spans="1:17" x14ac:dyDescent="0.25">
      <c r="A15" s="99">
        <v>10</v>
      </c>
      <c r="B15" s="99" t="s">
        <v>34</v>
      </c>
      <c r="C15" s="104">
        <v>30170.190000000002</v>
      </c>
      <c r="D15" s="104">
        <v>34741.049999999996</v>
      </c>
      <c r="E15" s="105">
        <f t="shared" si="0"/>
        <v>4570.8599999999933</v>
      </c>
      <c r="F15" s="106">
        <v>34741.049999999996</v>
      </c>
      <c r="G15" s="106">
        <v>34767.15</v>
      </c>
      <c r="H15" s="105">
        <f t="shared" si="1"/>
        <v>26.100000000005821</v>
      </c>
      <c r="I15" s="106">
        <v>34767.15</v>
      </c>
      <c r="J15" s="106">
        <v>17977.36</v>
      </c>
      <c r="K15" s="105">
        <f t="shared" si="2"/>
        <v>-16789.79</v>
      </c>
      <c r="L15" s="106">
        <v>0</v>
      </c>
      <c r="M15" s="106">
        <f t="shared" si="4"/>
        <v>0</v>
      </c>
      <c r="N15" s="100">
        <f t="shared" si="5"/>
        <v>0</v>
      </c>
      <c r="O15" s="101">
        <f t="shared" si="6"/>
        <v>0</v>
      </c>
      <c r="P15" s="100"/>
      <c r="Q15" s="107"/>
    </row>
    <row r="16" spans="1:17" x14ac:dyDescent="0.25">
      <c r="A16" s="99">
        <v>11</v>
      </c>
      <c r="B16" s="99" t="s">
        <v>36</v>
      </c>
      <c r="C16" s="104">
        <v>5871.41</v>
      </c>
      <c r="D16" s="104">
        <v>5951.4</v>
      </c>
      <c r="E16" s="105">
        <f t="shared" si="0"/>
        <v>79.989999999999782</v>
      </c>
      <c r="F16" s="106">
        <v>5951.4</v>
      </c>
      <c r="G16" s="106">
        <v>6358.21</v>
      </c>
      <c r="H16" s="105">
        <f t="shared" si="1"/>
        <v>406.8100000000004</v>
      </c>
      <c r="I16" s="106">
        <v>6358.21</v>
      </c>
      <c r="J16" s="106">
        <v>7119.5199999999995</v>
      </c>
      <c r="K16" s="105">
        <f t="shared" si="2"/>
        <v>761.30999999999949</v>
      </c>
      <c r="L16" s="106">
        <f t="shared" si="3"/>
        <v>1248.1099999999997</v>
      </c>
      <c r="M16" s="106">
        <f t="shared" si="4"/>
        <v>416.03666666666658</v>
      </c>
      <c r="N16" s="100">
        <f t="shared" si="5"/>
        <v>1.8231221926137045</v>
      </c>
      <c r="O16" s="101">
        <f t="shared" si="6"/>
        <v>9.0920926867838041</v>
      </c>
      <c r="P16" s="100"/>
      <c r="Q16" s="107"/>
    </row>
    <row r="17" spans="1:17" x14ac:dyDescent="0.25">
      <c r="A17" s="99">
        <v>12</v>
      </c>
      <c r="B17" s="99" t="s">
        <v>38</v>
      </c>
      <c r="C17" s="104">
        <v>7882.1</v>
      </c>
      <c r="D17" s="104">
        <v>10023.23</v>
      </c>
      <c r="E17" s="105">
        <f t="shared" si="0"/>
        <v>2141.1299999999992</v>
      </c>
      <c r="F17" s="106">
        <v>10023.23</v>
      </c>
      <c r="G17" s="106">
        <v>8967.57</v>
      </c>
      <c r="H17" s="105">
        <f t="shared" si="1"/>
        <v>-1055.6599999999999</v>
      </c>
      <c r="I17" s="106">
        <v>8967.57</v>
      </c>
      <c r="J17" s="106">
        <v>11734.29</v>
      </c>
      <c r="K17" s="105">
        <f t="shared" si="2"/>
        <v>2766.7200000000012</v>
      </c>
      <c r="L17" s="106">
        <f t="shared" si="3"/>
        <v>3852.1900000000005</v>
      </c>
      <c r="M17" s="106">
        <f t="shared" si="4"/>
        <v>1284.0633333333335</v>
      </c>
      <c r="N17" s="100">
        <f t="shared" si="5"/>
        <v>5.6269183638978841</v>
      </c>
      <c r="O17" s="101">
        <f t="shared" si="6"/>
        <v>28.062004572595139</v>
      </c>
      <c r="P17" s="100"/>
      <c r="Q17" s="107"/>
    </row>
    <row r="18" spans="1:17" x14ac:dyDescent="0.25">
      <c r="A18" s="99">
        <v>13</v>
      </c>
      <c r="B18" s="99" t="s">
        <v>40</v>
      </c>
      <c r="C18" s="104">
        <v>14329.119999999999</v>
      </c>
      <c r="D18" s="106">
        <v>16413.170000000002</v>
      </c>
      <c r="E18" s="105">
        <f t="shared" si="0"/>
        <v>2084.0500000000029</v>
      </c>
      <c r="F18" s="106">
        <v>16413.170000000002</v>
      </c>
      <c r="G18" s="106">
        <v>19520.989999999998</v>
      </c>
      <c r="H18" s="105">
        <f t="shared" si="1"/>
        <v>3107.8199999999961</v>
      </c>
      <c r="I18" s="106">
        <v>19520.989999999998</v>
      </c>
      <c r="J18" s="106">
        <v>21502.13</v>
      </c>
      <c r="K18" s="105">
        <f t="shared" si="2"/>
        <v>1981.1400000000031</v>
      </c>
      <c r="L18" s="106">
        <f t="shared" si="3"/>
        <v>7173.010000000002</v>
      </c>
      <c r="M18" s="106">
        <f t="shared" si="4"/>
        <v>2391.003333333334</v>
      </c>
      <c r="N18" s="100">
        <f t="shared" si="5"/>
        <v>10.47766119880462</v>
      </c>
      <c r="O18" s="101">
        <f t="shared" si="6"/>
        <v>52.253144164558513</v>
      </c>
      <c r="P18" s="100"/>
      <c r="Q18" s="107"/>
    </row>
    <row r="19" spans="1:17" x14ac:dyDescent="0.25">
      <c r="A19" s="99">
        <v>14</v>
      </c>
      <c r="B19" s="99" t="s">
        <v>50</v>
      </c>
      <c r="C19" s="104">
        <v>5836.5700000000006</v>
      </c>
      <c r="D19" s="104">
        <v>7911.4499999999989</v>
      </c>
      <c r="E19" s="105">
        <f t="shared" si="0"/>
        <v>2074.8799999999983</v>
      </c>
      <c r="F19" s="106">
        <v>7911.4499999999989</v>
      </c>
      <c r="G19" s="106">
        <v>10431.36</v>
      </c>
      <c r="H19" s="105">
        <f t="shared" si="1"/>
        <v>2519.9100000000017</v>
      </c>
      <c r="I19" s="106">
        <v>10431.36</v>
      </c>
      <c r="J19" s="106">
        <v>12399.33</v>
      </c>
      <c r="K19" s="105">
        <f t="shared" si="2"/>
        <v>1967.9699999999993</v>
      </c>
      <c r="L19" s="106">
        <f t="shared" si="3"/>
        <v>6562.7599999999993</v>
      </c>
      <c r="M19" s="106">
        <f t="shared" si="4"/>
        <v>2187.5866666666666</v>
      </c>
      <c r="N19" s="100">
        <f t="shared" si="5"/>
        <v>9.5862651535501815</v>
      </c>
      <c r="O19" s="101">
        <f t="shared" si="6"/>
        <v>47.80766294727011</v>
      </c>
      <c r="P19" s="100"/>
      <c r="Q19" s="107"/>
    </row>
    <row r="20" spans="1:17" x14ac:dyDescent="0.25">
      <c r="A20" s="99">
        <v>15</v>
      </c>
      <c r="B20" s="99" t="s">
        <v>52</v>
      </c>
      <c r="C20" s="104">
        <v>2100.9499999999998</v>
      </c>
      <c r="D20" s="104">
        <v>2792.6500000000005</v>
      </c>
      <c r="E20" s="105">
        <f t="shared" si="0"/>
        <v>691.70000000000073</v>
      </c>
      <c r="F20" s="106">
        <v>2792.6500000000005</v>
      </c>
      <c r="G20" s="106">
        <v>7034.06</v>
      </c>
      <c r="H20" s="105">
        <f t="shared" si="1"/>
        <v>4241.41</v>
      </c>
      <c r="I20" s="106">
        <v>7034.06</v>
      </c>
      <c r="J20" s="106">
        <v>5680.8</v>
      </c>
      <c r="K20" s="105">
        <f t="shared" si="2"/>
        <v>-1353.2600000000002</v>
      </c>
      <c r="L20" s="106">
        <f t="shared" si="3"/>
        <v>3579.8500000000004</v>
      </c>
      <c r="M20" s="106">
        <f t="shared" si="4"/>
        <v>1193.2833333333335</v>
      </c>
      <c r="N20" s="100">
        <f t="shared" si="5"/>
        <v>5.2291095986957661</v>
      </c>
      <c r="O20" s="101">
        <f t="shared" si="6"/>
        <v>26.078092479655652</v>
      </c>
      <c r="P20" s="100"/>
      <c r="Q20" s="107"/>
    </row>
    <row r="21" spans="1:17" x14ac:dyDescent="0.25">
      <c r="A21" s="99">
        <v>16</v>
      </c>
      <c r="B21" s="99" t="s">
        <v>54</v>
      </c>
      <c r="C21" s="104">
        <v>6245.2999999999993</v>
      </c>
      <c r="D21" s="104">
        <v>6896.85</v>
      </c>
      <c r="E21" s="105">
        <f t="shared" si="0"/>
        <v>651.55000000000109</v>
      </c>
      <c r="F21" s="106">
        <v>6896.85</v>
      </c>
      <c r="G21" s="106">
        <v>6914.35</v>
      </c>
      <c r="H21" s="105">
        <f t="shared" si="1"/>
        <v>17.5</v>
      </c>
      <c r="I21" s="106">
        <v>6914.35</v>
      </c>
      <c r="J21" s="106">
        <v>8661.4600000000009</v>
      </c>
      <c r="K21" s="105">
        <f t="shared" si="2"/>
        <v>1747.1100000000006</v>
      </c>
      <c r="L21" s="106">
        <f t="shared" si="3"/>
        <v>2416.1600000000017</v>
      </c>
      <c r="M21" s="106">
        <f t="shared" si="4"/>
        <v>805.38666666666722</v>
      </c>
      <c r="N21" s="100">
        <f t="shared" si="5"/>
        <v>3.5293002354804726</v>
      </c>
      <c r="O21" s="101">
        <f t="shared" si="6"/>
        <v>17.600973204364664</v>
      </c>
      <c r="P21" s="100"/>
      <c r="Q21" s="107"/>
    </row>
    <row r="22" spans="1:17" x14ac:dyDescent="0.25">
      <c r="A22" s="99">
        <v>17</v>
      </c>
      <c r="B22" s="99" t="s">
        <v>58</v>
      </c>
      <c r="C22" s="104">
        <v>9067.77</v>
      </c>
      <c r="D22" s="104">
        <v>9175.3799999999992</v>
      </c>
      <c r="E22" s="105">
        <f t="shared" si="0"/>
        <v>107.60999999999876</v>
      </c>
      <c r="F22" s="106">
        <v>9175.3799999999992</v>
      </c>
      <c r="G22" s="106">
        <v>11652.38</v>
      </c>
      <c r="H22" s="105">
        <f t="shared" si="1"/>
        <v>2477</v>
      </c>
      <c r="I22" s="106">
        <v>11652.38</v>
      </c>
      <c r="J22" s="106">
        <v>17619.84</v>
      </c>
      <c r="K22" s="105">
        <f t="shared" si="2"/>
        <v>5967.4600000000009</v>
      </c>
      <c r="L22" s="106">
        <f t="shared" si="3"/>
        <v>8552.07</v>
      </c>
      <c r="M22" s="106">
        <f t="shared" si="4"/>
        <v>2850.69</v>
      </c>
      <c r="N22" s="100">
        <f t="shared" si="5"/>
        <v>12.492062886913722</v>
      </c>
      <c r="O22" s="101">
        <f t="shared" si="6"/>
        <v>62.299166823327425</v>
      </c>
      <c r="P22" s="100"/>
      <c r="Q22" s="107"/>
    </row>
    <row r="23" spans="1:17" x14ac:dyDescent="0.25">
      <c r="A23" s="99">
        <v>18</v>
      </c>
      <c r="B23" s="99" t="s">
        <v>60</v>
      </c>
      <c r="C23" s="104">
        <v>2476.431</v>
      </c>
      <c r="D23" s="104">
        <v>11333.410000000002</v>
      </c>
      <c r="E23" s="105">
        <f t="shared" si="0"/>
        <v>8856.9790000000012</v>
      </c>
      <c r="F23" s="106">
        <v>11333.410000000002</v>
      </c>
      <c r="G23" s="106">
        <v>10003.58</v>
      </c>
      <c r="H23" s="105">
        <f t="shared" si="1"/>
        <v>-1329.8300000000017</v>
      </c>
      <c r="I23" s="106">
        <v>10003.58</v>
      </c>
      <c r="J23" s="106">
        <v>14211.56</v>
      </c>
      <c r="K23" s="105">
        <f t="shared" si="2"/>
        <v>4207.9799999999996</v>
      </c>
      <c r="L23" s="106">
        <f t="shared" si="3"/>
        <v>11735.128999999999</v>
      </c>
      <c r="M23" s="106">
        <f t="shared" si="4"/>
        <v>3911.7096666666662</v>
      </c>
      <c r="N23" s="100">
        <f t="shared" si="5"/>
        <v>17.141577355429146</v>
      </c>
      <c r="O23" s="101">
        <f t="shared" si="6"/>
        <v>85.486760429260684</v>
      </c>
      <c r="P23" s="100"/>
      <c r="Q23" s="107"/>
    </row>
    <row r="24" spans="1:17" x14ac:dyDescent="0.25">
      <c r="A24" s="99">
        <v>19</v>
      </c>
      <c r="B24" s="99" t="s">
        <v>66</v>
      </c>
      <c r="C24" s="104">
        <v>2243.1799999999998</v>
      </c>
      <c r="D24" s="104">
        <v>1889.3500000000001</v>
      </c>
      <c r="E24" s="105">
        <f t="shared" si="0"/>
        <v>-353.8299999999997</v>
      </c>
      <c r="F24" s="106">
        <v>1889.3500000000001</v>
      </c>
      <c r="G24" s="106">
        <v>2482.0899999999997</v>
      </c>
      <c r="H24" s="105">
        <f t="shared" si="1"/>
        <v>592.73999999999955</v>
      </c>
      <c r="I24" s="106">
        <v>2482.0899999999997</v>
      </c>
      <c r="J24" s="106">
        <v>1912.22</v>
      </c>
      <c r="K24" s="105">
        <f t="shared" si="2"/>
        <v>-569.86999999999966</v>
      </c>
      <c r="L24" s="106">
        <v>0</v>
      </c>
      <c r="M24" s="106">
        <f t="shared" si="4"/>
        <v>0</v>
      </c>
      <c r="N24" s="100">
        <f t="shared" si="5"/>
        <v>0</v>
      </c>
      <c r="O24" s="101">
        <f t="shared" si="6"/>
        <v>0</v>
      </c>
      <c r="P24" s="100"/>
      <c r="Q24" s="107"/>
    </row>
    <row r="25" spans="1:17" x14ac:dyDescent="0.25">
      <c r="A25" s="99">
        <v>20</v>
      </c>
      <c r="B25" s="99" t="s">
        <v>64</v>
      </c>
      <c r="C25" s="104">
        <v>13400.160000000002</v>
      </c>
      <c r="D25" s="104">
        <v>12516.39</v>
      </c>
      <c r="E25" s="105">
        <f t="shared" si="0"/>
        <v>-883.77000000000226</v>
      </c>
      <c r="F25" s="106">
        <v>12516.39</v>
      </c>
      <c r="G25" s="106">
        <v>15287.52</v>
      </c>
      <c r="H25" s="105">
        <f t="shared" si="1"/>
        <v>2771.130000000001</v>
      </c>
      <c r="I25" s="106">
        <v>15287.52</v>
      </c>
      <c r="J25" s="106">
        <v>21183.82</v>
      </c>
      <c r="K25" s="105">
        <f t="shared" si="2"/>
        <v>5896.2999999999993</v>
      </c>
      <c r="L25" s="106">
        <f t="shared" si="3"/>
        <v>7783.659999999998</v>
      </c>
      <c r="M25" s="106">
        <f t="shared" si="4"/>
        <v>2594.5533333333328</v>
      </c>
      <c r="N25" s="100">
        <f t="shared" si="5"/>
        <v>11.369641526595881</v>
      </c>
      <c r="O25" s="101">
        <f t="shared" si="6"/>
        <v>56.701539257286314</v>
      </c>
      <c r="P25" s="100"/>
      <c r="Q25" s="107"/>
    </row>
    <row r="26" spans="1:17" x14ac:dyDescent="0.25">
      <c r="A26" s="99">
        <v>21</v>
      </c>
      <c r="B26" s="99" t="s">
        <v>68</v>
      </c>
      <c r="C26" s="102">
        <v>2755.71</v>
      </c>
      <c r="D26" s="104">
        <v>3637.41</v>
      </c>
      <c r="E26" s="105">
        <f t="shared" si="0"/>
        <v>881.69999999999982</v>
      </c>
      <c r="F26" s="106">
        <v>3637.41</v>
      </c>
      <c r="G26" s="106">
        <v>5396.83</v>
      </c>
      <c r="H26" s="105">
        <f t="shared" si="1"/>
        <v>1759.42</v>
      </c>
      <c r="I26" s="106">
        <v>5396.83</v>
      </c>
      <c r="J26" s="102">
        <v>5288.46</v>
      </c>
      <c r="K26" s="105">
        <f t="shared" si="2"/>
        <v>-108.36999999999989</v>
      </c>
      <c r="L26" s="106">
        <f t="shared" si="3"/>
        <v>2532.75</v>
      </c>
      <c r="M26" s="106">
        <f t="shared" si="4"/>
        <v>844.25</v>
      </c>
      <c r="N26" s="100">
        <f t="shared" si="5"/>
        <v>3.6996039879035991</v>
      </c>
      <c r="O26" s="101">
        <f t="shared" si="6"/>
        <v>18.45029504807404</v>
      </c>
      <c r="P26" s="100"/>
      <c r="Q26" s="107"/>
    </row>
    <row r="27" spans="1:17" x14ac:dyDescent="0.25">
      <c r="B27" s="109" t="s">
        <v>139</v>
      </c>
      <c r="C27" s="104"/>
      <c r="E27" s="105"/>
      <c r="F27" s="106"/>
      <c r="H27" s="105"/>
      <c r="I27" s="106"/>
      <c r="K27" s="105"/>
      <c r="L27" s="106"/>
      <c r="M27" s="105">
        <f>SUM(M6:M26)</f>
        <v>22820.006333333335</v>
      </c>
      <c r="N27" s="100">
        <f t="shared" si="5"/>
        <v>99.999983932230251</v>
      </c>
      <c r="O27" s="101">
        <f t="shared" si="6"/>
        <v>498.70991986842552</v>
      </c>
      <c r="P27" s="100"/>
      <c r="Q27" s="107"/>
    </row>
    <row r="28" spans="1:17" x14ac:dyDescent="0.25">
      <c r="A28" s="108"/>
      <c r="C28" s="108"/>
      <c r="D28" s="108"/>
      <c r="E28" s="105"/>
      <c r="F28" s="108"/>
      <c r="G28" s="108"/>
      <c r="H28" s="105"/>
      <c r="I28" s="108"/>
      <c r="J28" s="108"/>
      <c r="K28" s="105"/>
      <c r="L28" s="106"/>
      <c r="M28" s="106"/>
      <c r="N28" s="100"/>
      <c r="O28" s="101"/>
    </row>
    <row r="29" spans="1:17" x14ac:dyDescent="0.25">
      <c r="E29" s="105"/>
      <c r="H29" s="105"/>
      <c r="K29" s="105"/>
      <c r="L29" s="106"/>
      <c r="M29" s="106"/>
      <c r="O29" s="110"/>
    </row>
    <row r="30" spans="1:17" ht="31.5" x14ac:dyDescent="0.25">
      <c r="E30" s="105"/>
      <c r="H30" s="105"/>
      <c r="K30" s="105"/>
      <c r="L30" s="106"/>
      <c r="M30" s="106"/>
      <c r="O30" s="157" t="s">
        <v>258</v>
      </c>
    </row>
    <row r="31" spans="1:17" x14ac:dyDescent="0.25">
      <c r="A31" s="99">
        <v>1</v>
      </c>
      <c r="B31" s="99" t="s">
        <v>14</v>
      </c>
      <c r="C31" s="104">
        <v>503.32</v>
      </c>
      <c r="D31" s="104">
        <v>557.29000000000008</v>
      </c>
      <c r="E31" s="105">
        <f t="shared" si="0"/>
        <v>53.970000000000084</v>
      </c>
      <c r="F31" s="106">
        <v>557.29000000000008</v>
      </c>
      <c r="G31" s="106">
        <v>1037.1300000000001</v>
      </c>
      <c r="H31" s="105">
        <f t="shared" si="1"/>
        <v>479.84000000000003</v>
      </c>
      <c r="I31" s="106">
        <v>1037.1300000000001</v>
      </c>
      <c r="J31" s="106">
        <v>734.89</v>
      </c>
      <c r="K31" s="105">
        <f t="shared" si="2"/>
        <v>-302.24000000000012</v>
      </c>
      <c r="L31" s="106">
        <f t="shared" si="3"/>
        <v>231.57000000000005</v>
      </c>
      <c r="M31" s="106">
        <f t="shared" si="4"/>
        <v>77.190000000000012</v>
      </c>
      <c r="N31" s="100">
        <f>M31/848.01*100</f>
        <v>9.1024869989740704</v>
      </c>
      <c r="O31" s="101">
        <f>58.83*N31/100</f>
        <v>5.3549931014964454</v>
      </c>
      <c r="P31" s="100"/>
    </row>
    <row r="32" spans="1:17" x14ac:dyDescent="0.25">
      <c r="A32" s="99">
        <v>2</v>
      </c>
      <c r="B32" s="99" t="s">
        <v>16</v>
      </c>
      <c r="C32" s="104">
        <v>2076.4300000000003</v>
      </c>
      <c r="D32" s="104">
        <v>3268.38</v>
      </c>
      <c r="E32" s="105">
        <f t="shared" si="0"/>
        <v>1191.9499999999998</v>
      </c>
      <c r="F32" s="106">
        <v>3268.38</v>
      </c>
      <c r="G32" s="106">
        <v>3927.0699999999997</v>
      </c>
      <c r="H32" s="105">
        <f t="shared" si="1"/>
        <v>658.6899999999996</v>
      </c>
      <c r="I32" s="106">
        <v>3927.0699999999997</v>
      </c>
      <c r="J32" s="106">
        <v>2427.0599999999995</v>
      </c>
      <c r="K32" s="105">
        <f t="shared" si="2"/>
        <v>-1500.0100000000002</v>
      </c>
      <c r="L32" s="106">
        <f t="shared" si="3"/>
        <v>350.6299999999992</v>
      </c>
      <c r="M32" s="106">
        <f t="shared" si="4"/>
        <v>116.8766666666664</v>
      </c>
      <c r="N32" s="100">
        <f t="shared" ref="N32:N39" si="7">M32/848.01*100</f>
        <v>13.782463257115646</v>
      </c>
      <c r="O32" s="101">
        <f t="shared" ref="O32:O39" si="8">58.83*N32/100</f>
        <v>8.1082231341611344</v>
      </c>
      <c r="P32" s="100"/>
    </row>
    <row r="33" spans="1:16" x14ac:dyDescent="0.25">
      <c r="A33" s="99">
        <v>3</v>
      </c>
      <c r="B33" s="99" t="s">
        <v>42</v>
      </c>
      <c r="C33" s="102">
        <v>427.16999999999996</v>
      </c>
      <c r="D33" s="104">
        <v>585.38000000000011</v>
      </c>
      <c r="E33" s="105">
        <f t="shared" si="0"/>
        <v>158.21000000000015</v>
      </c>
      <c r="F33" s="106">
        <v>585.38000000000011</v>
      </c>
      <c r="G33" s="106">
        <v>477.72</v>
      </c>
      <c r="H33" s="105">
        <f t="shared" si="1"/>
        <v>-107.66000000000008</v>
      </c>
      <c r="I33" s="106">
        <v>477.72</v>
      </c>
      <c r="J33" s="106">
        <v>473.96</v>
      </c>
      <c r="K33" s="105">
        <f t="shared" si="2"/>
        <v>-3.7600000000000477</v>
      </c>
      <c r="L33" s="106">
        <f t="shared" si="3"/>
        <v>46.79000000000002</v>
      </c>
      <c r="M33" s="106">
        <f t="shared" si="4"/>
        <v>15.596666666666673</v>
      </c>
      <c r="N33" s="100">
        <f t="shared" si="7"/>
        <v>1.8392078709763651</v>
      </c>
      <c r="O33" s="101">
        <f t="shared" si="8"/>
        <v>1.0820059904953956</v>
      </c>
    </row>
    <row r="34" spans="1:16" x14ac:dyDescent="0.25">
      <c r="A34" s="99">
        <v>4</v>
      </c>
      <c r="B34" s="99" t="s">
        <v>44</v>
      </c>
      <c r="C34" s="102">
        <v>709.98079999999993</v>
      </c>
      <c r="D34" s="104">
        <v>722.21939999999995</v>
      </c>
      <c r="E34" s="105">
        <f t="shared" si="0"/>
        <v>12.238600000000019</v>
      </c>
      <c r="F34" s="106">
        <v>722.21939999999995</v>
      </c>
      <c r="G34" s="106">
        <v>671.96690000000001</v>
      </c>
      <c r="H34" s="105">
        <f t="shared" si="1"/>
        <v>-50.252499999999941</v>
      </c>
      <c r="I34" s="106">
        <v>671.96690000000001</v>
      </c>
      <c r="J34" s="106">
        <v>732.10890000000006</v>
      </c>
      <c r="K34" s="105">
        <f t="shared" si="2"/>
        <v>60.142000000000053</v>
      </c>
      <c r="L34" s="106">
        <f t="shared" si="3"/>
        <v>22.128100000000131</v>
      </c>
      <c r="M34" s="106">
        <f t="shared" si="4"/>
        <v>7.3760333333333774</v>
      </c>
      <c r="N34" s="100">
        <f t="shared" si="7"/>
        <v>0.86980499443796377</v>
      </c>
      <c r="O34" s="101">
        <f t="shared" si="8"/>
        <v>0.51170627822785408</v>
      </c>
    </row>
    <row r="35" spans="1:16" x14ac:dyDescent="0.25">
      <c r="A35" s="99">
        <v>5</v>
      </c>
      <c r="B35" s="99" t="s">
        <v>46</v>
      </c>
      <c r="C35" s="102">
        <v>899.03199999999993</v>
      </c>
      <c r="D35" s="104">
        <v>856.66000000000008</v>
      </c>
      <c r="E35" s="105">
        <f t="shared" si="0"/>
        <v>-42.371999999999844</v>
      </c>
      <c r="F35" s="106">
        <v>856.66000000000008</v>
      </c>
      <c r="G35" s="106">
        <v>648.25000000000011</v>
      </c>
      <c r="H35" s="105">
        <f t="shared" si="1"/>
        <v>-208.40999999999997</v>
      </c>
      <c r="I35" s="106">
        <v>648.25000000000011</v>
      </c>
      <c r="J35" s="106">
        <v>726.78000000000009</v>
      </c>
      <c r="K35" s="105">
        <f t="shared" si="2"/>
        <v>78.529999999999973</v>
      </c>
      <c r="L35" s="106">
        <v>0</v>
      </c>
      <c r="M35" s="106">
        <f t="shared" si="4"/>
        <v>0</v>
      </c>
      <c r="N35" s="100">
        <f t="shared" si="7"/>
        <v>0</v>
      </c>
      <c r="O35" s="101">
        <f t="shared" si="8"/>
        <v>0</v>
      </c>
    </row>
    <row r="36" spans="1:16" x14ac:dyDescent="0.25">
      <c r="A36" s="99">
        <v>6</v>
      </c>
      <c r="B36" s="99" t="s">
        <v>48</v>
      </c>
      <c r="C36" s="102">
        <v>476.97</v>
      </c>
      <c r="D36" s="104">
        <v>745.68999999999994</v>
      </c>
      <c r="E36" s="105">
        <f t="shared" si="0"/>
        <v>268.71999999999991</v>
      </c>
      <c r="F36" s="106">
        <v>745.68999999999994</v>
      </c>
      <c r="G36" s="106">
        <v>1441.33</v>
      </c>
      <c r="H36" s="105">
        <f t="shared" si="1"/>
        <v>695.64</v>
      </c>
      <c r="I36" s="106">
        <v>1441.33</v>
      </c>
      <c r="J36" s="106">
        <v>1390.88</v>
      </c>
      <c r="K36" s="105">
        <f t="shared" si="2"/>
        <v>-50.449999999999818</v>
      </c>
      <c r="L36" s="106">
        <f t="shared" si="3"/>
        <v>913.91000000000008</v>
      </c>
      <c r="M36" s="106">
        <f t="shared" si="4"/>
        <v>304.63666666666671</v>
      </c>
      <c r="N36" s="100">
        <f t="shared" si="7"/>
        <v>35.923711591451365</v>
      </c>
      <c r="O36" s="101">
        <f t="shared" si="8"/>
        <v>21.133919529250839</v>
      </c>
    </row>
    <row r="37" spans="1:16" x14ac:dyDescent="0.25">
      <c r="A37" s="99">
        <v>7</v>
      </c>
      <c r="B37" s="99" t="s">
        <v>56</v>
      </c>
      <c r="C37" s="102">
        <v>438.68</v>
      </c>
      <c r="D37" s="104">
        <v>541.42999999999995</v>
      </c>
      <c r="E37" s="105">
        <f t="shared" si="0"/>
        <v>102.74999999999994</v>
      </c>
      <c r="F37" s="106">
        <v>541.42999999999995</v>
      </c>
      <c r="G37" s="106">
        <v>522.85</v>
      </c>
      <c r="H37" s="105">
        <f t="shared" si="1"/>
        <v>-18.579999999999927</v>
      </c>
      <c r="I37" s="106">
        <v>522.85</v>
      </c>
      <c r="J37" s="106">
        <v>794.93</v>
      </c>
      <c r="K37" s="105">
        <f t="shared" si="2"/>
        <v>272.07999999999993</v>
      </c>
      <c r="L37" s="106">
        <f t="shared" si="3"/>
        <v>356.24999999999994</v>
      </c>
      <c r="M37" s="106">
        <f t="shared" si="4"/>
        <v>118.74999999999999</v>
      </c>
      <c r="N37" s="100">
        <f t="shared" si="7"/>
        <v>14.003372601738185</v>
      </c>
      <c r="O37" s="101">
        <f t="shared" si="8"/>
        <v>8.2381841016025739</v>
      </c>
      <c r="P37" s="100"/>
    </row>
    <row r="38" spans="1:16" x14ac:dyDescent="0.25">
      <c r="A38" s="99">
        <v>8</v>
      </c>
      <c r="B38" s="99" t="s">
        <v>62</v>
      </c>
      <c r="C38" s="102">
        <v>506.93999999999994</v>
      </c>
      <c r="D38" s="104">
        <v>638.65</v>
      </c>
      <c r="E38" s="105">
        <f t="shared" si="0"/>
        <v>131.71000000000004</v>
      </c>
      <c r="F38" s="106">
        <v>638.65</v>
      </c>
      <c r="G38" s="106">
        <v>654.76999999999987</v>
      </c>
      <c r="H38" s="105">
        <f t="shared" si="1"/>
        <v>16.119999999999891</v>
      </c>
      <c r="I38" s="106">
        <v>654.76999999999987</v>
      </c>
      <c r="J38" s="106">
        <v>1129.68</v>
      </c>
      <c r="K38" s="105">
        <f t="shared" si="2"/>
        <v>474.9100000000002</v>
      </c>
      <c r="L38" s="106">
        <f t="shared" si="3"/>
        <v>622.74000000000012</v>
      </c>
      <c r="M38" s="106">
        <f t="shared" si="4"/>
        <v>207.58000000000004</v>
      </c>
      <c r="N38" s="100">
        <f t="shared" si="7"/>
        <v>24.47848492352685</v>
      </c>
      <c r="O38" s="101">
        <f t="shared" si="8"/>
        <v>14.400692680510845</v>
      </c>
      <c r="P38" s="100"/>
    </row>
    <row r="39" spans="1:16" x14ac:dyDescent="0.25">
      <c r="B39" s="102" t="s">
        <v>139</v>
      </c>
      <c r="M39" s="156">
        <f>SUM(M31:M38)</f>
        <v>848.00603333333322</v>
      </c>
      <c r="N39" s="100">
        <f t="shared" si="7"/>
        <v>99.999532238220439</v>
      </c>
      <c r="O39" s="101">
        <f t="shared" si="8"/>
        <v>58.829724815745088</v>
      </c>
    </row>
  </sheetData>
  <mergeCells count="16">
    <mergeCell ref="Q3:Q5"/>
    <mergeCell ref="C4:E4"/>
    <mergeCell ref="F4:H4"/>
    <mergeCell ref="I4:K4"/>
    <mergeCell ref="L4:M4"/>
    <mergeCell ref="N4:P4"/>
    <mergeCell ref="A1:M1"/>
    <mergeCell ref="N1:P1"/>
    <mergeCell ref="A2:P2"/>
    <mergeCell ref="A3:A5"/>
    <mergeCell ref="B3:B5"/>
    <mergeCell ref="C3:E3"/>
    <mergeCell ref="F3:H3"/>
    <mergeCell ref="I3:K3"/>
    <mergeCell ref="L3:M3"/>
    <mergeCell ref="N3:P3"/>
  </mergeCells>
  <pageMargins left="0.7" right="0.7" top="0.75" bottom="0.75" header="0.3" footer="0.3"/>
  <pageSetup scale="55" orientation="landscape"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7" zoomScaleNormal="100" workbookViewId="0">
      <selection activeCell="K30" sqref="K30:K38"/>
    </sheetView>
  </sheetViews>
  <sheetFormatPr defaultRowHeight="15" x14ac:dyDescent="0.25"/>
  <cols>
    <col min="1" max="1" width="9.140625" style="27"/>
    <col min="2" max="2" width="19.5703125" style="27" customWidth="1"/>
    <col min="3" max="3" width="12.28515625" style="27" customWidth="1"/>
    <col min="4" max="4" width="12.5703125" style="27" customWidth="1"/>
    <col min="5" max="5" width="10.5703125" style="27" customWidth="1"/>
    <col min="6" max="6" width="11.42578125" style="27" customWidth="1"/>
    <col min="7" max="7" width="12.5703125" style="27" customWidth="1"/>
    <col min="8" max="8" width="9.140625" style="27"/>
    <col min="9" max="9" width="12.42578125" style="27" customWidth="1"/>
    <col min="10" max="10" width="11.140625" style="27" customWidth="1"/>
    <col min="11" max="11" width="11.5703125" style="27" customWidth="1"/>
    <col min="12" max="16384" width="9.140625" style="27"/>
  </cols>
  <sheetData>
    <row r="1" spans="1:13" ht="15.75" x14ac:dyDescent="0.25">
      <c r="A1" s="254" t="s">
        <v>165</v>
      </c>
      <c r="B1" s="255"/>
      <c r="C1" s="255"/>
      <c r="D1" s="255"/>
      <c r="E1" s="255"/>
      <c r="F1" s="255"/>
      <c r="G1" s="255"/>
      <c r="H1" s="255"/>
      <c r="I1" s="255"/>
      <c r="J1" s="255"/>
      <c r="K1" s="256"/>
    </row>
    <row r="2" spans="1:13" ht="157.5" x14ac:dyDescent="0.25">
      <c r="A2" s="71" t="s">
        <v>111</v>
      </c>
      <c r="B2" s="72" t="s">
        <v>166</v>
      </c>
      <c r="C2" s="72" t="s">
        <v>167</v>
      </c>
      <c r="D2" s="72" t="s">
        <v>168</v>
      </c>
      <c r="E2" s="72" t="s">
        <v>169</v>
      </c>
      <c r="F2" s="72" t="s">
        <v>170</v>
      </c>
      <c r="G2" s="72" t="s">
        <v>264</v>
      </c>
      <c r="H2" s="72" t="s">
        <v>171</v>
      </c>
      <c r="I2" s="72" t="s">
        <v>172</v>
      </c>
      <c r="J2" s="72" t="s">
        <v>173</v>
      </c>
      <c r="K2" s="73" t="s">
        <v>174</v>
      </c>
    </row>
    <row r="3" spans="1:13" ht="31.5" x14ac:dyDescent="0.25">
      <c r="A3" s="74"/>
      <c r="B3" s="75"/>
      <c r="C3" s="76" t="s">
        <v>175</v>
      </c>
      <c r="D3" s="76" t="s">
        <v>176</v>
      </c>
      <c r="E3" s="76" t="s">
        <v>177</v>
      </c>
      <c r="F3" s="76" t="s">
        <v>137</v>
      </c>
      <c r="G3" s="75"/>
      <c r="H3" s="75"/>
      <c r="I3" s="75"/>
      <c r="J3" s="75"/>
      <c r="K3" s="77"/>
    </row>
    <row r="4" spans="1:13" ht="15.75" x14ac:dyDescent="0.25">
      <c r="A4" s="78" t="s">
        <v>178</v>
      </c>
      <c r="B4" s="158" t="s">
        <v>179</v>
      </c>
      <c r="C4" s="158" t="s">
        <v>180</v>
      </c>
      <c r="D4" s="158" t="s">
        <v>181</v>
      </c>
      <c r="E4" s="158" t="s">
        <v>182</v>
      </c>
      <c r="F4" s="158" t="s">
        <v>183</v>
      </c>
      <c r="G4" s="158" t="s">
        <v>184</v>
      </c>
      <c r="H4" s="158" t="s">
        <v>185</v>
      </c>
      <c r="I4" s="158" t="s">
        <v>186</v>
      </c>
      <c r="J4" s="158" t="s">
        <v>187</v>
      </c>
      <c r="K4" s="79" t="s">
        <v>188</v>
      </c>
    </row>
    <row r="5" spans="1:13" ht="15.75" x14ac:dyDescent="0.25">
      <c r="A5" s="80">
        <v>1</v>
      </c>
      <c r="B5" s="81" t="s">
        <v>116</v>
      </c>
      <c r="C5" s="13">
        <v>30.617748637476801</v>
      </c>
      <c r="D5" s="13">
        <v>26.238622448979598</v>
      </c>
      <c r="E5" s="82">
        <f t="shared" ref="E5:E26" si="0">C5-D5</f>
        <v>4.379126188497203</v>
      </c>
      <c r="F5" s="82">
        <f t="shared" ref="F5:F26" si="1">E5/D5*100</f>
        <v>16.689619270265858</v>
      </c>
      <c r="G5" s="82">
        <f t="shared" ref="G5:G25" si="2">1/F5*66.68</f>
        <v>3.9952978507302896</v>
      </c>
      <c r="H5" s="82">
        <v>31.59</v>
      </c>
      <c r="I5" s="83">
        <f t="shared" ref="I5:I25" si="3">G5/H5</f>
        <v>0.12647349954828394</v>
      </c>
      <c r="J5" s="81">
        <v>166.23</v>
      </c>
      <c r="K5" s="84">
        <f t="shared" ref="K5:K25" si="4">166.23*I5</f>
        <v>21.023689829911238</v>
      </c>
      <c r="M5" s="27">
        <f t="shared" ref="M5:M26" si="5">D5*10</f>
        <v>262.38622448979595</v>
      </c>
    </row>
    <row r="6" spans="1:13" ht="15.75" x14ac:dyDescent="0.25">
      <c r="A6" s="80">
        <f t="shared" ref="A6:A25" si="6">A5+1</f>
        <v>2</v>
      </c>
      <c r="B6" s="81" t="s">
        <v>18</v>
      </c>
      <c r="C6" s="13">
        <v>37.031914221977637</v>
      </c>
      <c r="D6" s="13">
        <v>23.809361453060536</v>
      </c>
      <c r="E6" s="82">
        <f t="shared" si="0"/>
        <v>13.222552768917101</v>
      </c>
      <c r="F6" s="82">
        <f t="shared" si="1"/>
        <v>55.535100321715802</v>
      </c>
      <c r="G6" s="82">
        <f t="shared" si="2"/>
        <v>1.2006820841903878</v>
      </c>
      <c r="H6" s="82">
        <v>31.59</v>
      </c>
      <c r="I6" s="83">
        <f t="shared" si="3"/>
        <v>3.800829642894548E-2</v>
      </c>
      <c r="J6" s="81">
        <v>166.23</v>
      </c>
      <c r="K6" s="84">
        <f t="shared" si="4"/>
        <v>6.3181191153836069</v>
      </c>
      <c r="M6" s="27">
        <f t="shared" si="5"/>
        <v>238.09361453060535</v>
      </c>
    </row>
    <row r="7" spans="1:13" ht="15.75" x14ac:dyDescent="0.25">
      <c r="A7" s="80">
        <f t="shared" si="6"/>
        <v>3</v>
      </c>
      <c r="B7" s="81" t="s">
        <v>117</v>
      </c>
      <c r="C7" s="13">
        <v>44.777401420752305</v>
      </c>
      <c r="D7" s="13">
        <v>19.689344374799834</v>
      </c>
      <c r="E7" s="82">
        <f t="shared" si="0"/>
        <v>25.088057045952471</v>
      </c>
      <c r="F7" s="82">
        <f t="shared" si="1"/>
        <v>127.41946389064324</v>
      </c>
      <c r="G7" s="82">
        <f t="shared" si="2"/>
        <v>0.52331094452906823</v>
      </c>
      <c r="H7" s="82">
        <v>31.59</v>
      </c>
      <c r="I7" s="83">
        <f t="shared" si="3"/>
        <v>1.6565715243085415E-2</v>
      </c>
      <c r="J7" s="81">
        <v>166.23</v>
      </c>
      <c r="K7" s="84">
        <f t="shared" si="4"/>
        <v>2.7537188448580885</v>
      </c>
      <c r="M7" s="27">
        <f t="shared" si="5"/>
        <v>196.89344374799833</v>
      </c>
    </row>
    <row r="8" spans="1:13" ht="15.75" x14ac:dyDescent="0.25">
      <c r="A8" s="80">
        <f t="shared" si="6"/>
        <v>4</v>
      </c>
      <c r="B8" s="81" t="s">
        <v>22</v>
      </c>
      <c r="C8" s="13">
        <v>32.299999999999997</v>
      </c>
      <c r="D8" s="13">
        <v>25.55</v>
      </c>
      <c r="E8" s="82">
        <f t="shared" si="0"/>
        <v>6.7499999999999964</v>
      </c>
      <c r="F8" s="82">
        <f t="shared" si="1"/>
        <v>26.418786692759284</v>
      </c>
      <c r="G8" s="82">
        <f t="shared" si="2"/>
        <v>2.5239614814814826</v>
      </c>
      <c r="H8" s="82">
        <v>31.59</v>
      </c>
      <c r="I8" s="83">
        <f t="shared" si="3"/>
        <v>7.9897482794602168E-2</v>
      </c>
      <c r="J8" s="81">
        <v>166.23</v>
      </c>
      <c r="K8" s="84">
        <f t="shared" si="4"/>
        <v>13.281358564946718</v>
      </c>
      <c r="M8" s="27">
        <f t="shared" si="5"/>
        <v>255.5</v>
      </c>
    </row>
    <row r="9" spans="1:13" ht="15.75" x14ac:dyDescent="0.25">
      <c r="A9" s="80">
        <f t="shared" si="6"/>
        <v>5</v>
      </c>
      <c r="B9" s="81" t="s">
        <v>24</v>
      </c>
      <c r="C9" s="13">
        <v>34.304113726033869</v>
      </c>
      <c r="D9" s="13">
        <v>21.302698145025296</v>
      </c>
      <c r="E9" s="82">
        <f t="shared" si="0"/>
        <v>13.001415581008573</v>
      </c>
      <c r="F9" s="82">
        <f t="shared" si="1"/>
        <v>61.031778662482353</v>
      </c>
      <c r="G9" s="82">
        <f t="shared" si="2"/>
        <v>1.0925455797176324</v>
      </c>
      <c r="H9" s="82">
        <v>31.59</v>
      </c>
      <c r="I9" s="83">
        <f t="shared" si="3"/>
        <v>3.4585171880900045E-2</v>
      </c>
      <c r="J9" s="81">
        <v>166.23</v>
      </c>
      <c r="K9" s="84">
        <f t="shared" si="4"/>
        <v>5.749093121762014</v>
      </c>
      <c r="M9" s="27">
        <f t="shared" si="5"/>
        <v>213.02698145025295</v>
      </c>
    </row>
    <row r="10" spans="1:13" ht="15.75" x14ac:dyDescent="0.25">
      <c r="A10" s="80">
        <f t="shared" si="6"/>
        <v>6</v>
      </c>
      <c r="B10" s="81" t="s">
        <v>26</v>
      </c>
      <c r="C10" s="13">
        <v>48.178150967672757</v>
      </c>
      <c r="D10" s="13">
        <v>40.052658884565496</v>
      </c>
      <c r="E10" s="82">
        <f t="shared" si="0"/>
        <v>8.125492083107261</v>
      </c>
      <c r="F10" s="82">
        <f t="shared" si="1"/>
        <v>20.287022907831126</v>
      </c>
      <c r="G10" s="82">
        <f t="shared" si="2"/>
        <v>3.2868302216122811</v>
      </c>
      <c r="H10" s="82">
        <v>31.59</v>
      </c>
      <c r="I10" s="83">
        <f t="shared" si="3"/>
        <v>0.10404654072846727</v>
      </c>
      <c r="J10" s="81">
        <v>166.23</v>
      </c>
      <c r="K10" s="84">
        <f t="shared" si="4"/>
        <v>17.295656465293114</v>
      </c>
      <c r="M10" s="27">
        <f t="shared" si="5"/>
        <v>400.52658884565494</v>
      </c>
    </row>
    <row r="11" spans="1:13" ht="15.75" x14ac:dyDescent="0.25">
      <c r="A11" s="80">
        <f t="shared" si="6"/>
        <v>7</v>
      </c>
      <c r="B11" s="81" t="s">
        <v>28</v>
      </c>
      <c r="C11" s="13">
        <v>29.966157343366302</v>
      </c>
      <c r="D11" s="13">
        <v>19.922374110754639</v>
      </c>
      <c r="E11" s="82">
        <f t="shared" si="0"/>
        <v>10.043783232611663</v>
      </c>
      <c r="F11" s="82">
        <f t="shared" si="1"/>
        <v>50.414590032167681</v>
      </c>
      <c r="G11" s="82">
        <f t="shared" si="2"/>
        <v>1.3226329909150103</v>
      </c>
      <c r="H11" s="82">
        <v>31.59</v>
      </c>
      <c r="I11" s="83">
        <f t="shared" si="3"/>
        <v>4.1868723992244707E-2</v>
      </c>
      <c r="J11" s="81">
        <v>166.23</v>
      </c>
      <c r="K11" s="84">
        <f t="shared" si="4"/>
        <v>6.9598379892308371</v>
      </c>
      <c r="M11" s="27">
        <f t="shared" si="5"/>
        <v>199.2237411075464</v>
      </c>
    </row>
    <row r="12" spans="1:13" ht="15.75" x14ac:dyDescent="0.25">
      <c r="A12" s="80">
        <f t="shared" si="6"/>
        <v>8</v>
      </c>
      <c r="B12" s="81" t="s">
        <v>30</v>
      </c>
      <c r="C12" s="13">
        <v>34.434789258947966</v>
      </c>
      <c r="D12" s="13">
        <v>18.243559388506949</v>
      </c>
      <c r="E12" s="82">
        <f t="shared" si="0"/>
        <v>16.191229870441017</v>
      </c>
      <c r="F12" s="82">
        <f t="shared" si="1"/>
        <v>88.750388702333737</v>
      </c>
      <c r="G12" s="82">
        <f t="shared" si="2"/>
        <v>0.75132065306939466</v>
      </c>
      <c r="H12" s="82">
        <v>31.59</v>
      </c>
      <c r="I12" s="83">
        <f t="shared" si="3"/>
        <v>2.3783496456770963E-2</v>
      </c>
      <c r="J12" s="81">
        <v>166.23</v>
      </c>
      <c r="K12" s="84">
        <f t="shared" si="4"/>
        <v>3.9535306160090369</v>
      </c>
      <c r="M12" s="27">
        <f t="shared" si="5"/>
        <v>182.43559388506949</v>
      </c>
    </row>
    <row r="13" spans="1:13" ht="15.75" x14ac:dyDescent="0.25">
      <c r="A13" s="80">
        <f t="shared" si="6"/>
        <v>9</v>
      </c>
      <c r="B13" s="81" t="s">
        <v>118</v>
      </c>
      <c r="C13" s="13">
        <v>46.840345979213119</v>
      </c>
      <c r="D13" s="13">
        <v>20.173944333615363</v>
      </c>
      <c r="E13" s="82">
        <f t="shared" si="0"/>
        <v>26.666401645597755</v>
      </c>
      <c r="F13" s="82">
        <f t="shared" si="1"/>
        <v>132.18238934646095</v>
      </c>
      <c r="G13" s="82">
        <f t="shared" si="2"/>
        <v>0.50445449147712274</v>
      </c>
      <c r="H13" s="82">
        <v>31.59</v>
      </c>
      <c r="I13" s="83">
        <f t="shared" si="3"/>
        <v>1.5968803149006734E-2</v>
      </c>
      <c r="J13" s="81">
        <v>166.23</v>
      </c>
      <c r="K13" s="84">
        <f t="shared" si="4"/>
        <v>2.6544941474593893</v>
      </c>
      <c r="M13" s="27">
        <f t="shared" si="5"/>
        <v>201.73944333615364</v>
      </c>
    </row>
    <row r="14" spans="1:13" ht="15.75" x14ac:dyDescent="0.25">
      <c r="A14" s="80">
        <f t="shared" si="6"/>
        <v>10</v>
      </c>
      <c r="B14" s="81" t="s">
        <v>34</v>
      </c>
      <c r="C14" s="13">
        <v>23.322039739378599</v>
      </c>
      <c r="D14" s="13">
        <v>12.999403546282302</v>
      </c>
      <c r="E14" s="82">
        <f t="shared" si="0"/>
        <v>10.322636193096297</v>
      </c>
      <c r="F14" s="82">
        <f t="shared" si="1"/>
        <v>79.408537140524942</v>
      </c>
      <c r="G14" s="82">
        <f t="shared" si="2"/>
        <v>0.83970820268354851</v>
      </c>
      <c r="H14" s="82">
        <v>31.59</v>
      </c>
      <c r="I14" s="83">
        <f t="shared" si="3"/>
        <v>2.6581456241961017E-2</v>
      </c>
      <c r="J14" s="81">
        <v>166.23</v>
      </c>
      <c r="K14" s="84">
        <f t="shared" si="4"/>
        <v>4.4186354711011795</v>
      </c>
      <c r="M14" s="27">
        <f t="shared" si="5"/>
        <v>129.99403546282304</v>
      </c>
    </row>
    <row r="15" spans="1:13" ht="15.75" x14ac:dyDescent="0.25">
      <c r="A15" s="80">
        <f t="shared" si="6"/>
        <v>11</v>
      </c>
      <c r="B15" s="81" t="s">
        <v>36</v>
      </c>
      <c r="C15" s="13">
        <v>44.303235923022086</v>
      </c>
      <c r="D15" s="13">
        <v>25.355674663058746</v>
      </c>
      <c r="E15" s="82">
        <f t="shared" si="0"/>
        <v>18.94756125996334</v>
      </c>
      <c r="F15" s="82">
        <f t="shared" si="1"/>
        <v>74.727103544866296</v>
      </c>
      <c r="G15" s="82">
        <f t="shared" si="2"/>
        <v>0.89231345571911813</v>
      </c>
      <c r="H15" s="82">
        <v>31.59</v>
      </c>
      <c r="I15" s="83">
        <f t="shared" si="3"/>
        <v>2.8246706417192725E-2</v>
      </c>
      <c r="J15" s="81">
        <v>166.23</v>
      </c>
      <c r="K15" s="84">
        <f t="shared" si="4"/>
        <v>4.6954500077299466</v>
      </c>
      <c r="M15" s="27">
        <f t="shared" si="5"/>
        <v>253.55674663058747</v>
      </c>
    </row>
    <row r="16" spans="1:13" ht="15.75" x14ac:dyDescent="0.25">
      <c r="A16" s="80">
        <f t="shared" si="6"/>
        <v>12</v>
      </c>
      <c r="B16" s="81" t="s">
        <v>38</v>
      </c>
      <c r="C16" s="13">
        <v>40.407058713669549</v>
      </c>
      <c r="D16" s="13">
        <v>20.275939022853834</v>
      </c>
      <c r="E16" s="82">
        <f t="shared" si="0"/>
        <v>20.131119690815716</v>
      </c>
      <c r="F16" s="82">
        <f t="shared" si="1"/>
        <v>99.285757705845896</v>
      </c>
      <c r="G16" s="82">
        <f t="shared" si="2"/>
        <v>0.67159682859603054</v>
      </c>
      <c r="H16" s="82">
        <v>31.59</v>
      </c>
      <c r="I16" s="83">
        <f t="shared" si="3"/>
        <v>2.1259791978348545E-2</v>
      </c>
      <c r="J16" s="81">
        <v>166.23</v>
      </c>
      <c r="K16" s="84">
        <f t="shared" si="4"/>
        <v>3.5340152205608786</v>
      </c>
      <c r="M16" s="27">
        <f t="shared" si="5"/>
        <v>202.75939022853834</v>
      </c>
    </row>
    <row r="17" spans="1:13" ht="15.75" x14ac:dyDescent="0.25">
      <c r="A17" s="80">
        <f t="shared" si="6"/>
        <v>13</v>
      </c>
      <c r="B17" s="81" t="s">
        <v>40</v>
      </c>
      <c r="C17" s="13">
        <v>26.967220988954697</v>
      </c>
      <c r="D17" s="13">
        <v>12.948965192339053</v>
      </c>
      <c r="E17" s="82">
        <f t="shared" si="0"/>
        <v>14.018255796615644</v>
      </c>
      <c r="F17" s="82">
        <f t="shared" si="1"/>
        <v>108.25773016139708</v>
      </c>
      <c r="G17" s="82">
        <f t="shared" si="2"/>
        <v>0.61593753998526923</v>
      </c>
      <c r="H17" s="82">
        <v>31.59</v>
      </c>
      <c r="I17" s="83">
        <f t="shared" si="3"/>
        <v>1.9497864513620424E-2</v>
      </c>
      <c r="J17" s="81">
        <v>166.23</v>
      </c>
      <c r="K17" s="84">
        <f t="shared" si="4"/>
        <v>3.2411300180991227</v>
      </c>
      <c r="M17" s="27">
        <f t="shared" si="5"/>
        <v>129.48965192339051</v>
      </c>
    </row>
    <row r="18" spans="1:13" ht="15.75" x14ac:dyDescent="0.25">
      <c r="A18" s="80">
        <f t="shared" si="6"/>
        <v>14</v>
      </c>
      <c r="B18" s="81" t="s">
        <v>119</v>
      </c>
      <c r="C18" s="13">
        <v>50.112950451728281</v>
      </c>
      <c r="D18" s="13">
        <v>19.72259108975144</v>
      </c>
      <c r="E18" s="82">
        <f t="shared" si="0"/>
        <v>30.390359361976842</v>
      </c>
      <c r="F18" s="82">
        <f t="shared" si="1"/>
        <v>154.08908101212296</v>
      </c>
      <c r="G18" s="82">
        <f t="shared" si="2"/>
        <v>0.43273669725341513</v>
      </c>
      <c r="H18" s="82">
        <v>31.59</v>
      </c>
      <c r="I18" s="83">
        <f t="shared" si="3"/>
        <v>1.3698534259367368E-2</v>
      </c>
      <c r="J18" s="81">
        <v>166.23</v>
      </c>
      <c r="K18" s="84">
        <f t="shared" si="4"/>
        <v>2.2771073499346373</v>
      </c>
      <c r="M18" s="27">
        <f t="shared" si="5"/>
        <v>197.22591089751438</v>
      </c>
    </row>
    <row r="19" spans="1:13" ht="15.75" x14ac:dyDescent="0.25">
      <c r="A19" s="80">
        <f t="shared" si="6"/>
        <v>15</v>
      </c>
      <c r="B19" s="81" t="s">
        <v>120</v>
      </c>
      <c r="C19" s="13">
        <v>54.268560072021884</v>
      </c>
      <c r="D19" s="13">
        <v>43.687111997134267</v>
      </c>
      <c r="E19" s="82">
        <f t="shared" si="0"/>
        <v>10.581448074887618</v>
      </c>
      <c r="F19" s="82">
        <f t="shared" si="1"/>
        <v>24.220983240049669</v>
      </c>
      <c r="G19" s="82">
        <f t="shared" si="2"/>
        <v>2.752984853634838</v>
      </c>
      <c r="H19" s="82">
        <v>31.59</v>
      </c>
      <c r="I19" s="83">
        <f t="shared" si="3"/>
        <v>8.7147352125192715E-2</v>
      </c>
      <c r="J19" s="81">
        <v>166.23</v>
      </c>
      <c r="K19" s="84">
        <f t="shared" si="4"/>
        <v>14.486504343770784</v>
      </c>
      <c r="M19" s="27">
        <f t="shared" si="5"/>
        <v>436.87111997134264</v>
      </c>
    </row>
    <row r="20" spans="1:13" ht="15.75" x14ac:dyDescent="0.25">
      <c r="A20" s="80">
        <f t="shared" si="6"/>
        <v>16</v>
      </c>
      <c r="B20" s="81" t="s">
        <v>54</v>
      </c>
      <c r="C20" s="13">
        <v>34.984406216744894</v>
      </c>
      <c r="D20" s="13">
        <v>17.884100661605366</v>
      </c>
      <c r="E20" s="82">
        <f t="shared" si="0"/>
        <v>17.100305555139528</v>
      </c>
      <c r="F20" s="82">
        <f t="shared" si="1"/>
        <v>95.617363594085916</v>
      </c>
      <c r="G20" s="82">
        <f t="shared" si="2"/>
        <v>0.69736287943546971</v>
      </c>
      <c r="H20" s="82">
        <v>31.59</v>
      </c>
      <c r="I20" s="83">
        <f t="shared" si="3"/>
        <v>2.207543144778315E-2</v>
      </c>
      <c r="J20" s="81">
        <v>166.23</v>
      </c>
      <c r="K20" s="84">
        <f t="shared" si="4"/>
        <v>3.6695989695649929</v>
      </c>
      <c r="M20" s="27">
        <f t="shared" si="5"/>
        <v>178.84100661605368</v>
      </c>
    </row>
    <row r="21" spans="1:13" ht="15.75" x14ac:dyDescent="0.25">
      <c r="A21" s="80">
        <f t="shared" si="6"/>
        <v>17</v>
      </c>
      <c r="B21" s="81" t="s">
        <v>58</v>
      </c>
      <c r="C21" s="13">
        <v>44.522849186489708</v>
      </c>
      <c r="D21" s="13">
        <v>13.224547281792338</v>
      </c>
      <c r="E21" s="82">
        <f t="shared" si="0"/>
        <v>31.298301904697368</v>
      </c>
      <c r="F21" s="82">
        <f t="shared" si="1"/>
        <v>236.66822945076632</v>
      </c>
      <c r="G21" s="82">
        <f t="shared" si="2"/>
        <v>0.28174461842531057</v>
      </c>
      <c r="H21" s="82">
        <v>31.59</v>
      </c>
      <c r="I21" s="83">
        <f t="shared" si="3"/>
        <v>8.9187913398325602E-3</v>
      </c>
      <c r="J21" s="81">
        <v>166.23</v>
      </c>
      <c r="K21" s="84">
        <f t="shared" si="4"/>
        <v>1.4825706844203663</v>
      </c>
      <c r="M21" s="27">
        <f t="shared" si="5"/>
        <v>132.24547281792337</v>
      </c>
    </row>
    <row r="22" spans="1:13" ht="15.75" x14ac:dyDescent="0.25">
      <c r="A22" s="80">
        <f t="shared" si="6"/>
        <v>18</v>
      </c>
      <c r="B22" s="81" t="s">
        <v>189</v>
      </c>
      <c r="C22" s="13">
        <v>30.62</v>
      </c>
      <c r="D22" s="13">
        <v>27.413073516609046</v>
      </c>
      <c r="E22" s="82">
        <f t="shared" si="0"/>
        <v>3.206926483390955</v>
      </c>
      <c r="F22" s="82">
        <f t="shared" si="1"/>
        <v>11.69852946787576</v>
      </c>
      <c r="G22" s="82">
        <f t="shared" si="2"/>
        <v>5.6998616948483765</v>
      </c>
      <c r="H22" s="82">
        <v>31.59</v>
      </c>
      <c r="I22" s="83">
        <f t="shared" si="3"/>
        <v>0.1804324689727248</v>
      </c>
      <c r="J22" s="81">
        <v>166.23</v>
      </c>
      <c r="K22" s="84">
        <f t="shared" si="4"/>
        <v>29.993289317336043</v>
      </c>
      <c r="M22" s="27">
        <f t="shared" si="5"/>
        <v>274.13073516609046</v>
      </c>
    </row>
    <row r="23" spans="1:13" ht="15.75" x14ac:dyDescent="0.25">
      <c r="A23" s="80">
        <f t="shared" si="6"/>
        <v>19</v>
      </c>
      <c r="B23" s="81" t="s">
        <v>121</v>
      </c>
      <c r="C23" s="13">
        <v>45.935199133683767</v>
      </c>
      <c r="D23" s="13">
        <v>26.462704632634996</v>
      </c>
      <c r="E23" s="82">
        <f t="shared" si="0"/>
        <v>19.472494501048772</v>
      </c>
      <c r="F23" s="82">
        <f t="shared" si="1"/>
        <v>73.584672358223031</v>
      </c>
      <c r="G23" s="82">
        <f t="shared" si="2"/>
        <v>0.90616697558141091</v>
      </c>
      <c r="H23" s="82">
        <v>31.59</v>
      </c>
      <c r="I23" s="83">
        <f t="shared" si="3"/>
        <v>2.8685247723374829E-2</v>
      </c>
      <c r="J23" s="81">
        <v>166.23</v>
      </c>
      <c r="K23" s="84">
        <f t="shared" si="4"/>
        <v>4.7683487290565978</v>
      </c>
      <c r="M23" s="27">
        <f t="shared" si="5"/>
        <v>264.62704632634996</v>
      </c>
    </row>
    <row r="24" spans="1:13" ht="15.75" x14ac:dyDescent="0.25">
      <c r="A24" s="80">
        <f t="shared" si="6"/>
        <v>20</v>
      </c>
      <c r="B24" s="81" t="s">
        <v>122</v>
      </c>
      <c r="C24" s="13">
        <v>34.501181509378227</v>
      </c>
      <c r="D24" s="13">
        <v>24.676375404530745</v>
      </c>
      <c r="E24" s="82">
        <f t="shared" si="0"/>
        <v>9.8248061048474824</v>
      </c>
      <c r="F24" s="82">
        <f t="shared" si="1"/>
        <v>39.814624083906516</v>
      </c>
      <c r="G24" s="82">
        <f t="shared" si="2"/>
        <v>1.6747615112345806</v>
      </c>
      <c r="H24" s="82">
        <v>31.59</v>
      </c>
      <c r="I24" s="83">
        <f t="shared" si="3"/>
        <v>5.3015559076751526E-2</v>
      </c>
      <c r="J24" s="81">
        <v>166.23</v>
      </c>
      <c r="K24" s="84">
        <f t="shared" si="4"/>
        <v>8.8127763853284051</v>
      </c>
      <c r="M24" s="27">
        <f t="shared" si="5"/>
        <v>246.76375404530745</v>
      </c>
    </row>
    <row r="25" spans="1:13" ht="15.75" x14ac:dyDescent="0.25">
      <c r="A25" s="80">
        <f t="shared" si="6"/>
        <v>21</v>
      </c>
      <c r="B25" s="81" t="s">
        <v>68</v>
      </c>
      <c r="C25" s="13">
        <v>47.193829670489237</v>
      </c>
      <c r="D25" s="13">
        <v>27.418833816722653</v>
      </c>
      <c r="E25" s="82">
        <f t="shared" si="0"/>
        <v>19.774995853766583</v>
      </c>
      <c r="F25" s="82">
        <f t="shared" si="1"/>
        <v>72.121943573347309</v>
      </c>
      <c r="G25" s="82">
        <f t="shared" si="2"/>
        <v>0.92454524512622294</v>
      </c>
      <c r="H25" s="82">
        <v>31.59</v>
      </c>
      <c r="I25" s="83">
        <f t="shared" si="3"/>
        <v>2.9267022637740517E-2</v>
      </c>
      <c r="J25" s="81">
        <v>166.23</v>
      </c>
      <c r="K25" s="84">
        <f t="shared" si="4"/>
        <v>4.8650571730716061</v>
      </c>
      <c r="M25" s="27">
        <f t="shared" si="5"/>
        <v>274.18833816722656</v>
      </c>
    </row>
    <row r="26" spans="1:13" ht="15.75" x14ac:dyDescent="0.25">
      <c r="A26" s="85"/>
      <c r="B26" s="86"/>
      <c r="C26" s="161">
        <f>SUM(C5:C25)</f>
        <v>815.58915316100149</v>
      </c>
      <c r="D26" s="165">
        <f>SUM(D5:D25)</f>
        <v>487.05188396462256</v>
      </c>
      <c r="E26" s="82">
        <f t="shared" si="0"/>
        <v>328.53726919637893</v>
      </c>
      <c r="F26" s="82">
        <f t="shared" si="1"/>
        <v>67.454265143596587</v>
      </c>
      <c r="G26" s="87">
        <f>SUM(G5:G25)</f>
        <v>31.590756800246258</v>
      </c>
      <c r="H26" s="86"/>
      <c r="I26" s="86"/>
      <c r="J26" s="81">
        <v>166.23</v>
      </c>
      <c r="K26" s="88">
        <f>SUM(K5:K25)</f>
        <v>166.23398236482862</v>
      </c>
      <c r="M26" s="27">
        <f t="shared" si="5"/>
        <v>4870.5188396462254</v>
      </c>
    </row>
    <row r="27" spans="1:13" ht="15.75" x14ac:dyDescent="0.25">
      <c r="A27" s="85"/>
      <c r="B27" s="181" t="s">
        <v>262</v>
      </c>
      <c r="C27" s="161">
        <v>28.12</v>
      </c>
      <c r="D27" s="165">
        <v>16.87</v>
      </c>
      <c r="E27" s="164"/>
      <c r="F27" s="164"/>
      <c r="G27" s="87"/>
      <c r="H27" s="86"/>
      <c r="I27" s="86"/>
      <c r="J27" s="163"/>
      <c r="K27" s="162"/>
    </row>
    <row r="28" spans="1:13" ht="15.75" x14ac:dyDescent="0.25">
      <c r="A28" s="85"/>
      <c r="B28" s="181" t="s">
        <v>263</v>
      </c>
      <c r="C28" s="161">
        <v>66.680000000000007</v>
      </c>
      <c r="D28" s="165"/>
      <c r="E28" s="164"/>
      <c r="F28" s="164"/>
      <c r="G28" s="87"/>
      <c r="H28" s="86"/>
      <c r="I28" s="86"/>
      <c r="J28" s="163"/>
      <c r="K28" s="162"/>
    </row>
    <row r="29" spans="1:13" ht="15.75" x14ac:dyDescent="0.25">
      <c r="A29" s="257" t="s">
        <v>206</v>
      </c>
      <c r="B29" s="258"/>
      <c r="C29" s="258"/>
      <c r="D29" s="258"/>
      <c r="E29" s="258"/>
      <c r="F29" s="258"/>
      <c r="G29" s="258"/>
      <c r="H29" s="258"/>
      <c r="I29" s="258"/>
      <c r="J29" s="258"/>
      <c r="K29" s="259"/>
      <c r="M29" s="27">
        <f>C29*10</f>
        <v>0</v>
      </c>
    </row>
    <row r="30" spans="1:13" ht="15.75" x14ac:dyDescent="0.25">
      <c r="A30" s="80">
        <v>1</v>
      </c>
      <c r="B30" s="81" t="s">
        <v>14</v>
      </c>
      <c r="C30" s="13">
        <v>58.49</v>
      </c>
      <c r="D30" s="13">
        <v>16.664720341976455</v>
      </c>
      <c r="E30" s="82">
        <f t="shared" ref="E30:E38" si="7">C30-D30</f>
        <v>41.825279658023547</v>
      </c>
      <c r="F30" s="82">
        <f t="shared" ref="F30:F37" si="8">E30/D30</f>
        <v>2.5098098737769168</v>
      </c>
      <c r="G30" s="82">
        <f t="shared" ref="G30:G37" si="9">1/F30*213.16</f>
        <v>84.930736079710954</v>
      </c>
      <c r="H30" s="82">
        <v>829.1</v>
      </c>
      <c r="I30" s="89">
        <f t="shared" ref="I30:I37" si="10">G30/H30</f>
        <v>0.10243726459982024</v>
      </c>
      <c r="J30" s="81">
        <v>19.61</v>
      </c>
      <c r="K30" s="84">
        <f t="shared" ref="K30:K37" si="11">I30*J30</f>
        <v>2.0087947588024746</v>
      </c>
      <c r="M30" s="27">
        <f t="shared" ref="M30:M37" si="12">D30*10</f>
        <v>166.64720341976454</v>
      </c>
    </row>
    <row r="31" spans="1:13" ht="15.75" x14ac:dyDescent="0.25">
      <c r="A31" s="80">
        <v>2</v>
      </c>
      <c r="B31" s="81" t="s">
        <v>16</v>
      </c>
      <c r="C31" s="13">
        <v>47.502067026316979</v>
      </c>
      <c r="D31" s="13">
        <v>18.780684729871833</v>
      </c>
      <c r="E31" s="82">
        <f t="shared" si="7"/>
        <v>28.721382296445146</v>
      </c>
      <c r="F31" s="82">
        <f t="shared" si="8"/>
        <v>1.529304320345787</v>
      </c>
      <c r="G31" s="82">
        <f t="shared" si="9"/>
        <v>139.3836381445669</v>
      </c>
      <c r="H31" s="82">
        <v>829.1</v>
      </c>
      <c r="I31" s="89">
        <f t="shared" si="10"/>
        <v>0.1681143868587226</v>
      </c>
      <c r="J31" s="81">
        <v>19.61</v>
      </c>
      <c r="K31" s="84">
        <f t="shared" si="11"/>
        <v>3.29672312629955</v>
      </c>
      <c r="M31" s="27">
        <f t="shared" si="12"/>
        <v>187.80684729871834</v>
      </c>
    </row>
    <row r="32" spans="1:13" ht="15.75" x14ac:dyDescent="0.25">
      <c r="A32" s="80">
        <v>3</v>
      </c>
      <c r="B32" s="81" t="s">
        <v>124</v>
      </c>
      <c r="C32" s="13">
        <v>64.794734911986595</v>
      </c>
      <c r="D32" s="13">
        <v>17.6296445069291</v>
      </c>
      <c r="E32" s="82">
        <f t="shared" si="7"/>
        <v>47.165090405057498</v>
      </c>
      <c r="F32" s="82">
        <f t="shared" si="8"/>
        <v>2.675328500612697</v>
      </c>
      <c r="G32" s="82">
        <f t="shared" si="9"/>
        <v>79.676196755345231</v>
      </c>
      <c r="H32" s="82">
        <v>829.1</v>
      </c>
      <c r="I32" s="89">
        <f t="shared" si="10"/>
        <v>9.6099622187124867E-2</v>
      </c>
      <c r="J32" s="81">
        <v>19.61</v>
      </c>
      <c r="K32" s="84">
        <f t="shared" si="11"/>
        <v>1.8845135910895185</v>
      </c>
      <c r="M32" s="27">
        <f t="shared" si="12"/>
        <v>176.296445069291</v>
      </c>
    </row>
    <row r="33" spans="1:13" ht="15.75" x14ac:dyDescent="0.25">
      <c r="A33" s="80">
        <v>4</v>
      </c>
      <c r="B33" s="81" t="s">
        <v>125</v>
      </c>
      <c r="C33" s="13">
        <v>58.49</v>
      </c>
      <c r="D33" s="13">
        <v>18.139336799130618</v>
      </c>
      <c r="E33" s="82">
        <f t="shared" si="7"/>
        <v>40.350663200869384</v>
      </c>
      <c r="F33" s="82">
        <f t="shared" si="8"/>
        <v>2.2244839294677692</v>
      </c>
      <c r="G33" s="82">
        <f t="shared" si="9"/>
        <v>95.824472892910819</v>
      </c>
      <c r="H33" s="82">
        <v>829.1</v>
      </c>
      <c r="I33" s="89">
        <f t="shared" si="10"/>
        <v>0.11557649607153639</v>
      </c>
      <c r="J33" s="81">
        <v>19.61</v>
      </c>
      <c r="K33" s="84">
        <f t="shared" si="11"/>
        <v>2.2664550879628287</v>
      </c>
      <c r="M33" s="27">
        <f t="shared" si="12"/>
        <v>181.39336799130618</v>
      </c>
    </row>
    <row r="34" spans="1:13" ht="15.75" x14ac:dyDescent="0.25">
      <c r="A34" s="80">
        <v>5</v>
      </c>
      <c r="B34" s="81" t="s">
        <v>126</v>
      </c>
      <c r="C34" s="13">
        <v>58.49</v>
      </c>
      <c r="D34" s="13">
        <v>16.68999945737696</v>
      </c>
      <c r="E34" s="82">
        <f t="shared" si="7"/>
        <v>41.800000542623039</v>
      </c>
      <c r="F34" s="82">
        <f t="shared" si="8"/>
        <v>2.5044938227453022</v>
      </c>
      <c r="G34" s="82">
        <f t="shared" si="9"/>
        <v>85.111010482087977</v>
      </c>
      <c r="H34" s="82">
        <v>829.1</v>
      </c>
      <c r="I34" s="89">
        <f t="shared" si="10"/>
        <v>0.10265469844661437</v>
      </c>
      <c r="J34" s="81">
        <v>19.61</v>
      </c>
      <c r="K34" s="84">
        <f t="shared" si="11"/>
        <v>2.013058636538108</v>
      </c>
      <c r="M34" s="27">
        <f t="shared" si="12"/>
        <v>166.89999457376959</v>
      </c>
    </row>
    <row r="35" spans="1:13" ht="15.75" x14ac:dyDescent="0.25">
      <c r="A35" s="80">
        <v>6</v>
      </c>
      <c r="B35" s="81" t="s">
        <v>48</v>
      </c>
      <c r="C35" s="13">
        <v>58.49</v>
      </c>
      <c r="D35" s="13">
        <v>16.25373322015782</v>
      </c>
      <c r="E35" s="82">
        <f t="shared" si="7"/>
        <v>42.236266779842182</v>
      </c>
      <c r="F35" s="82">
        <f t="shared" si="8"/>
        <v>2.5985578948386405</v>
      </c>
      <c r="G35" s="82">
        <f t="shared" si="9"/>
        <v>82.030113865612492</v>
      </c>
      <c r="H35" s="82">
        <v>829.1</v>
      </c>
      <c r="I35" s="89">
        <f t="shared" si="10"/>
        <v>9.893874546570075E-2</v>
      </c>
      <c r="J35" s="81">
        <v>19.61</v>
      </c>
      <c r="K35" s="84">
        <f t="shared" si="11"/>
        <v>1.9401887985823916</v>
      </c>
      <c r="M35" s="27">
        <f t="shared" si="12"/>
        <v>162.53733220157818</v>
      </c>
    </row>
    <row r="36" spans="1:13" ht="15.75" x14ac:dyDescent="0.25">
      <c r="A36" s="80">
        <v>7</v>
      </c>
      <c r="B36" s="81" t="s">
        <v>127</v>
      </c>
      <c r="C36" s="13">
        <v>58.49</v>
      </c>
      <c r="D36" s="13">
        <v>16.379682997118156</v>
      </c>
      <c r="E36" s="82">
        <f t="shared" si="7"/>
        <v>42.110317002881843</v>
      </c>
      <c r="F36" s="82">
        <f t="shared" si="8"/>
        <v>2.5708871783593579</v>
      </c>
      <c r="G36" s="82">
        <f t="shared" si="9"/>
        <v>82.9130122061718</v>
      </c>
      <c r="H36" s="82">
        <v>829.1</v>
      </c>
      <c r="I36" s="89">
        <f t="shared" si="10"/>
        <v>0.1000036331035723</v>
      </c>
      <c r="J36" s="81">
        <v>19.61</v>
      </c>
      <c r="K36" s="84">
        <f t="shared" si="11"/>
        <v>1.9610712451610528</v>
      </c>
      <c r="M36" s="27">
        <f t="shared" si="12"/>
        <v>163.79682997118155</v>
      </c>
    </row>
    <row r="37" spans="1:13" ht="15.75" x14ac:dyDescent="0.25">
      <c r="A37" s="80">
        <v>8</v>
      </c>
      <c r="B37" s="81" t="s">
        <v>128</v>
      </c>
      <c r="C37" s="13">
        <v>63.50359762033532</v>
      </c>
      <c r="D37" s="13">
        <v>29.006544392326497</v>
      </c>
      <c r="E37" s="82">
        <f t="shared" si="7"/>
        <v>34.497053228008824</v>
      </c>
      <c r="F37" s="82">
        <f t="shared" si="8"/>
        <v>1.1892851751460201</v>
      </c>
      <c r="G37" s="82">
        <f t="shared" si="9"/>
        <v>179.23371488577436</v>
      </c>
      <c r="H37" s="82">
        <v>829.1</v>
      </c>
      <c r="I37" s="89">
        <f t="shared" si="10"/>
        <v>0.21617864538146708</v>
      </c>
      <c r="J37" s="81">
        <v>19.61</v>
      </c>
      <c r="K37" s="84">
        <f t="shared" si="11"/>
        <v>4.2392632359305695</v>
      </c>
      <c r="M37" s="27">
        <f t="shared" si="12"/>
        <v>290.06544392326498</v>
      </c>
    </row>
    <row r="38" spans="1:13" ht="15.75" x14ac:dyDescent="0.25">
      <c r="A38" s="90"/>
      <c r="B38" s="91" t="s">
        <v>139</v>
      </c>
      <c r="C38" s="161">
        <f>SUM(C30:C37)</f>
        <v>468.25039955863895</v>
      </c>
      <c r="D38" s="92">
        <f>SUM(D30:D37)</f>
        <v>149.54434644488742</v>
      </c>
      <c r="E38" s="82">
        <f t="shared" si="7"/>
        <v>318.70605311375152</v>
      </c>
      <c r="F38" s="92">
        <f>SUM(F30:F37)</f>
        <v>17.80215069529249</v>
      </c>
      <c r="G38" s="92">
        <f>SUM(G30:G37)</f>
        <v>829.10289531218064</v>
      </c>
      <c r="H38" s="93"/>
      <c r="I38" s="93"/>
      <c r="J38" s="81">
        <v>19.61</v>
      </c>
      <c r="K38" s="92">
        <f>SUM(K30:K37)</f>
        <v>19.610068480366493</v>
      </c>
    </row>
    <row r="39" spans="1:13" ht="15.75" x14ac:dyDescent="0.25">
      <c r="B39" s="160" t="s">
        <v>262</v>
      </c>
      <c r="C39" s="159">
        <v>58.53</v>
      </c>
      <c r="D39" s="159">
        <v>18.690000000000001</v>
      </c>
    </row>
    <row r="40" spans="1:13" ht="18" x14ac:dyDescent="0.25">
      <c r="A40" s="260" t="s">
        <v>207</v>
      </c>
      <c r="B40" s="261"/>
      <c r="C40" s="94">
        <v>213.16</v>
      </c>
      <c r="D40" s="95"/>
      <c r="E40" s="95"/>
      <c r="F40" s="95"/>
      <c r="G40" s="95"/>
      <c r="H40" s="95" t="s">
        <v>190</v>
      </c>
      <c r="I40" s="95"/>
      <c r="J40" s="96"/>
    </row>
    <row r="41" spans="1:13" ht="36.75" customHeight="1" x14ac:dyDescent="0.25">
      <c r="A41" s="250" t="s">
        <v>191</v>
      </c>
      <c r="B41" s="250"/>
      <c r="C41" s="250"/>
      <c r="D41" s="250"/>
      <c r="E41" s="250"/>
      <c r="F41" s="250"/>
      <c r="G41" s="250"/>
      <c r="H41" s="250"/>
      <c r="I41" s="250"/>
      <c r="J41" s="251"/>
    </row>
    <row r="42" spans="1:13" ht="36" customHeight="1" x14ac:dyDescent="0.25">
      <c r="A42" s="250" t="s">
        <v>192</v>
      </c>
      <c r="B42" s="250"/>
      <c r="C42" s="250"/>
      <c r="D42" s="250"/>
      <c r="E42" s="250"/>
      <c r="F42" s="250"/>
      <c r="G42" s="250"/>
      <c r="H42" s="250"/>
      <c r="I42" s="250"/>
      <c r="J42" s="251"/>
    </row>
    <row r="43" spans="1:13" ht="36" customHeight="1" x14ac:dyDescent="0.25">
      <c r="A43" s="250" t="s">
        <v>284</v>
      </c>
      <c r="B43" s="250"/>
      <c r="C43" s="250"/>
      <c r="D43" s="250"/>
      <c r="E43" s="250"/>
      <c r="F43" s="250"/>
      <c r="G43" s="250"/>
      <c r="H43" s="250"/>
      <c r="I43" s="250"/>
      <c r="J43" s="251"/>
    </row>
    <row r="44" spans="1:13" ht="48" customHeight="1" x14ac:dyDescent="0.25">
      <c r="A44" s="250" t="s">
        <v>285</v>
      </c>
      <c r="B44" s="250"/>
      <c r="C44" s="250"/>
      <c r="D44" s="250"/>
      <c r="E44" s="250"/>
      <c r="F44" s="250"/>
      <c r="G44" s="250"/>
      <c r="H44" s="250"/>
      <c r="I44" s="250"/>
      <c r="J44" s="251"/>
    </row>
    <row r="45" spans="1:13" ht="61.5" customHeight="1" x14ac:dyDescent="0.25">
      <c r="A45" s="250" t="s">
        <v>286</v>
      </c>
      <c r="B45" s="250"/>
      <c r="C45" s="250"/>
      <c r="D45" s="250"/>
      <c r="E45" s="250"/>
      <c r="F45" s="250"/>
      <c r="G45" s="250"/>
      <c r="H45" s="250"/>
      <c r="I45" s="250"/>
      <c r="J45" s="251"/>
    </row>
    <row r="46" spans="1:13" ht="18" x14ac:dyDescent="0.25">
      <c r="A46" s="250" t="s">
        <v>287</v>
      </c>
      <c r="B46" s="250"/>
      <c r="C46" s="250"/>
      <c r="D46" s="250"/>
      <c r="E46" s="250"/>
      <c r="F46" s="250"/>
      <c r="G46" s="250"/>
      <c r="H46" s="250"/>
      <c r="I46" s="250"/>
      <c r="J46" s="251"/>
    </row>
    <row r="47" spans="1:13" ht="18.75" thickBot="1" x14ac:dyDescent="0.3">
      <c r="A47" s="252" t="s">
        <v>288</v>
      </c>
      <c r="B47" s="252"/>
      <c r="C47" s="252"/>
      <c r="D47" s="252"/>
      <c r="E47" s="252"/>
      <c r="F47" s="252"/>
      <c r="G47" s="252"/>
      <c r="H47" s="252"/>
      <c r="I47" s="252"/>
      <c r="J47" s="253"/>
    </row>
  </sheetData>
  <mergeCells count="10">
    <mergeCell ref="A45:J45"/>
    <mergeCell ref="A46:J46"/>
    <mergeCell ref="A47:J47"/>
    <mergeCell ref="A43:J43"/>
    <mergeCell ref="A1:K1"/>
    <mergeCell ref="A29:K29"/>
    <mergeCell ref="A40:B40"/>
    <mergeCell ref="A41:J41"/>
    <mergeCell ref="A42:J42"/>
    <mergeCell ref="A44:J44"/>
  </mergeCells>
  <pageMargins left="0.7" right="0.7" top="0.75" bottom="0.75" header="0.3" footer="0.3"/>
  <pageSetup scale="67" orientation="portrait"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13" zoomScaleNormal="100" workbookViewId="0">
      <selection activeCell="J15" sqref="J15"/>
    </sheetView>
  </sheetViews>
  <sheetFormatPr defaultRowHeight="15" x14ac:dyDescent="0.25"/>
  <cols>
    <col min="1" max="1" width="10.28515625" customWidth="1"/>
    <col min="2" max="2" width="26.85546875" customWidth="1"/>
    <col min="3" max="3" width="19.5703125" customWidth="1"/>
    <col min="4" max="4" width="16.42578125" customWidth="1"/>
    <col min="5" max="5" width="19.5703125" customWidth="1"/>
    <col min="6" max="6" width="17" customWidth="1"/>
    <col min="7" max="7" width="18" customWidth="1"/>
    <col min="8" max="8" width="16.42578125" customWidth="1"/>
    <col min="9" max="9" width="13.42578125" customWidth="1"/>
    <col min="10" max="11" width="14" customWidth="1"/>
    <col min="12" max="12" width="13.42578125" customWidth="1"/>
    <col min="13" max="13" width="14" customWidth="1"/>
    <col min="14" max="14" width="15.28515625" customWidth="1"/>
  </cols>
  <sheetData>
    <row r="1" spans="1:14" ht="18" x14ac:dyDescent="0.25">
      <c r="A1" s="262" t="s">
        <v>256</v>
      </c>
      <c r="B1" s="263"/>
      <c r="C1" s="263"/>
      <c r="D1" s="263"/>
      <c r="E1" s="263"/>
      <c r="F1" s="263"/>
      <c r="G1" s="263"/>
      <c r="H1" s="263"/>
      <c r="I1" s="263"/>
      <c r="J1" s="263"/>
      <c r="K1" s="263"/>
      <c r="L1" s="263"/>
      <c r="M1" s="263"/>
      <c r="N1" s="263"/>
    </row>
    <row r="2" spans="1:14" ht="90" x14ac:dyDescent="0.25">
      <c r="A2" s="137" t="s">
        <v>111</v>
      </c>
      <c r="B2" s="137" t="s">
        <v>2</v>
      </c>
      <c r="C2" s="136" t="s">
        <v>228</v>
      </c>
      <c r="D2" s="136" t="s">
        <v>229</v>
      </c>
      <c r="E2" s="136" t="s">
        <v>230</v>
      </c>
      <c r="F2" s="136" t="s">
        <v>260</v>
      </c>
      <c r="G2" s="136" t="s">
        <v>231</v>
      </c>
      <c r="H2" s="136" t="s">
        <v>232</v>
      </c>
      <c r="I2" s="136" t="s">
        <v>233</v>
      </c>
      <c r="J2" s="210" t="s">
        <v>234</v>
      </c>
      <c r="K2" s="210" t="s">
        <v>235</v>
      </c>
      <c r="L2" s="214" t="s">
        <v>236</v>
      </c>
      <c r="M2" s="264" t="s">
        <v>237</v>
      </c>
      <c r="N2" s="215" t="s">
        <v>238</v>
      </c>
    </row>
    <row r="3" spans="1:14" ht="164.25" customHeight="1" x14ac:dyDescent="0.25">
      <c r="A3" s="137"/>
      <c r="B3" s="137"/>
      <c r="C3" s="136" t="s">
        <v>239</v>
      </c>
      <c r="D3" s="136" t="s">
        <v>252</v>
      </c>
      <c r="E3" s="136" t="s">
        <v>253</v>
      </c>
      <c r="F3" s="136" t="s">
        <v>254</v>
      </c>
      <c r="G3" s="136" t="s">
        <v>255</v>
      </c>
      <c r="H3" s="136" t="s">
        <v>240</v>
      </c>
      <c r="I3" s="136" t="s">
        <v>241</v>
      </c>
      <c r="J3" s="210"/>
      <c r="K3" s="210"/>
      <c r="L3" s="214"/>
      <c r="M3" s="265"/>
      <c r="N3" s="215"/>
    </row>
    <row r="4" spans="1:14" ht="18.75" x14ac:dyDescent="0.3">
      <c r="A4" s="138">
        <v>1</v>
      </c>
      <c r="B4" s="18" t="s">
        <v>116</v>
      </c>
      <c r="C4" s="20">
        <v>12.164563965090226</v>
      </c>
      <c r="D4" s="66">
        <v>19.375407070760605</v>
      </c>
      <c r="E4" s="20">
        <v>54.827990196615467</v>
      </c>
      <c r="F4" s="20">
        <v>25.21</v>
      </c>
      <c r="G4" s="20">
        <v>3.7320578314691102</v>
      </c>
      <c r="H4" s="20">
        <v>21.023689829911238</v>
      </c>
      <c r="I4" s="139">
        <f>C4+D4+E4+F4+G4+H4</f>
        <v>136.33370889384665</v>
      </c>
      <c r="J4" s="140">
        <v>40.689331205450713</v>
      </c>
      <c r="K4" s="141">
        <v>18.024001060980972</v>
      </c>
      <c r="L4" s="142">
        <f>I4+J4+K4</f>
        <v>195.04704116027833</v>
      </c>
      <c r="M4" s="143"/>
      <c r="N4" s="20"/>
    </row>
    <row r="5" spans="1:14" ht="18.75" x14ac:dyDescent="0.3">
      <c r="A5" s="138">
        <f>A4+1</f>
        <v>2</v>
      </c>
      <c r="B5" s="18" t="s">
        <v>18</v>
      </c>
      <c r="C5" s="20">
        <v>8.4237816464205668</v>
      </c>
      <c r="D5" s="66">
        <v>46.244643464846796</v>
      </c>
      <c r="E5" s="20">
        <v>0.8103487597069432</v>
      </c>
      <c r="F5" s="20">
        <v>13.23</v>
      </c>
      <c r="G5" s="20">
        <v>6.7454068072722952</v>
      </c>
      <c r="H5" s="20">
        <v>6.3181191153836069</v>
      </c>
      <c r="I5" s="139">
        <f t="shared" ref="I5:I35" si="0">C5+D5+E5+F5+G5+H5</f>
        <v>81.772299793630197</v>
      </c>
      <c r="J5" s="22">
        <v>36.455899195548028</v>
      </c>
      <c r="K5" s="141">
        <v>3.2015518663454658</v>
      </c>
      <c r="L5" s="142">
        <f t="shared" ref="L5:L35" si="1">I5+J5+K5</f>
        <v>121.42975085552369</v>
      </c>
      <c r="M5" s="143"/>
      <c r="N5" s="20"/>
    </row>
    <row r="6" spans="1:14" ht="18.75" x14ac:dyDescent="0.3">
      <c r="A6" s="138">
        <f t="shared" ref="A6:A21" si="2">A5+1</f>
        <v>3</v>
      </c>
      <c r="B6" s="18" t="s">
        <v>117</v>
      </c>
      <c r="C6" s="20">
        <v>11.818657472579314</v>
      </c>
      <c r="D6" s="66">
        <v>8.8821133761940505</v>
      </c>
      <c r="E6" s="20">
        <v>0</v>
      </c>
      <c r="F6" s="20">
        <v>6.61</v>
      </c>
      <c r="G6" s="20">
        <v>1.8526573193219076</v>
      </c>
      <c r="H6" s="20">
        <v>2.7537188448580885</v>
      </c>
      <c r="I6" s="139">
        <f t="shared" si="0"/>
        <v>31.917147012953361</v>
      </c>
      <c r="J6" s="22">
        <v>8.8907125791495965</v>
      </c>
      <c r="K6" s="141">
        <v>22.169667934756934</v>
      </c>
      <c r="L6" s="142">
        <f t="shared" si="1"/>
        <v>62.977527526859888</v>
      </c>
      <c r="M6" s="143"/>
      <c r="N6" s="20"/>
    </row>
    <row r="7" spans="1:14" ht="18.75" x14ac:dyDescent="0.3">
      <c r="A7" s="138">
        <f t="shared" si="2"/>
        <v>4</v>
      </c>
      <c r="B7" s="18" t="s">
        <v>22</v>
      </c>
      <c r="C7" s="20">
        <v>0.33248122538035146</v>
      </c>
      <c r="D7" s="66">
        <v>0.20545592572413918</v>
      </c>
      <c r="E7" s="20">
        <v>0</v>
      </c>
      <c r="F7" s="20">
        <v>0.49</v>
      </c>
      <c r="G7" s="20">
        <v>0.10518088811177456</v>
      </c>
      <c r="H7" s="20">
        <v>13.281358564946718</v>
      </c>
      <c r="I7" s="139">
        <f t="shared" si="0"/>
        <v>14.414476604162983</v>
      </c>
      <c r="J7" s="22">
        <v>6.5779626117821982E-2</v>
      </c>
      <c r="K7" s="141">
        <v>0.40780366038435129</v>
      </c>
      <c r="L7" s="142">
        <f t="shared" si="1"/>
        <v>14.888059890665156</v>
      </c>
      <c r="M7" s="143"/>
      <c r="N7" s="20"/>
    </row>
    <row r="8" spans="1:14" ht="18.75" x14ac:dyDescent="0.3">
      <c r="A8" s="138">
        <f t="shared" si="2"/>
        <v>5</v>
      </c>
      <c r="B8" s="18" t="s">
        <v>24</v>
      </c>
      <c r="C8" s="20">
        <v>22.308661988442033</v>
      </c>
      <c r="D8" s="66">
        <v>9.5619948747142978</v>
      </c>
      <c r="E8" s="20">
        <v>5.6843882072502732</v>
      </c>
      <c r="F8" s="20">
        <v>25.58</v>
      </c>
      <c r="G8" s="20">
        <v>4.5358063984334445</v>
      </c>
      <c r="H8" s="20">
        <v>5.749093121762014</v>
      </c>
      <c r="I8" s="139">
        <f t="shared" si="0"/>
        <v>73.419944590602071</v>
      </c>
      <c r="J8" s="22">
        <v>9.695300020414729</v>
      </c>
      <c r="K8" s="141">
        <v>21.613072593626121</v>
      </c>
      <c r="L8" s="142">
        <f t="shared" si="1"/>
        <v>104.72831720464293</v>
      </c>
      <c r="M8" s="143"/>
      <c r="N8" s="20"/>
    </row>
    <row r="9" spans="1:14" ht="18.75" x14ac:dyDescent="0.3">
      <c r="A9" s="138">
        <f t="shared" si="2"/>
        <v>6</v>
      </c>
      <c r="B9" s="18" t="s">
        <v>26</v>
      </c>
      <c r="C9" s="20">
        <v>2.0151870031843391</v>
      </c>
      <c r="D9" s="66">
        <v>3.220951971247402</v>
      </c>
      <c r="E9" s="20">
        <v>10.63047322503364</v>
      </c>
      <c r="F9" s="20">
        <v>14.3</v>
      </c>
      <c r="G9" s="20">
        <v>1.9590139805123448</v>
      </c>
      <c r="H9" s="20">
        <v>17.295656465293114</v>
      </c>
      <c r="I9" s="139">
        <f t="shared" si="0"/>
        <v>49.421282645270843</v>
      </c>
      <c r="J9" s="22">
        <v>11.769108016769472</v>
      </c>
      <c r="K9" s="141">
        <v>0</v>
      </c>
      <c r="L9" s="142">
        <f t="shared" si="1"/>
        <v>61.190390662040315</v>
      </c>
      <c r="M9" s="143"/>
      <c r="N9" s="20"/>
    </row>
    <row r="10" spans="1:14" ht="18.75" x14ac:dyDescent="0.3">
      <c r="A10" s="138">
        <f t="shared" si="2"/>
        <v>7</v>
      </c>
      <c r="B10" s="18" t="s">
        <v>28</v>
      </c>
      <c r="C10" s="20">
        <v>1.6072640110862133</v>
      </c>
      <c r="D10" s="66">
        <v>2.4902759988430048</v>
      </c>
      <c r="E10" s="20">
        <v>3.2512293684358586</v>
      </c>
      <c r="F10" s="191">
        <v>3</v>
      </c>
      <c r="G10" s="20">
        <v>0.50590103658669461</v>
      </c>
      <c r="H10" s="20">
        <v>6.9598379892308371</v>
      </c>
      <c r="I10" s="139">
        <f t="shared" si="0"/>
        <v>17.814508404182607</v>
      </c>
      <c r="J10" s="22">
        <v>4.2494231615720928</v>
      </c>
      <c r="K10" s="141">
        <v>1.026001300791739</v>
      </c>
      <c r="L10" s="142">
        <f t="shared" si="1"/>
        <v>23.089932866546441</v>
      </c>
      <c r="M10" s="143"/>
      <c r="N10" s="20"/>
    </row>
    <row r="11" spans="1:14" ht="18.75" x14ac:dyDescent="0.3">
      <c r="A11" s="138">
        <f t="shared" si="2"/>
        <v>8</v>
      </c>
      <c r="B11" s="18" t="s">
        <v>30</v>
      </c>
      <c r="C11" s="20">
        <v>1.5715280502376765</v>
      </c>
      <c r="D11" s="66">
        <v>4.0484162301322542</v>
      </c>
      <c r="E11" s="20">
        <v>0.32766529316449339</v>
      </c>
      <c r="F11" s="20">
        <v>2.87</v>
      </c>
      <c r="G11" s="20">
        <v>0.92226268833798575</v>
      </c>
      <c r="H11" s="20">
        <v>3.9535306160090369</v>
      </c>
      <c r="I11" s="139">
        <f t="shared" si="0"/>
        <v>13.693402877881445</v>
      </c>
      <c r="J11" s="22">
        <v>2.1711428624136664</v>
      </c>
      <c r="K11" s="141">
        <v>3.3115814066718259</v>
      </c>
      <c r="L11" s="142">
        <f t="shared" si="1"/>
        <v>19.176127146966937</v>
      </c>
      <c r="M11" s="143"/>
      <c r="N11" s="20"/>
    </row>
    <row r="12" spans="1:14" ht="18.75" x14ac:dyDescent="0.3">
      <c r="A12" s="138">
        <f t="shared" si="2"/>
        <v>9</v>
      </c>
      <c r="B12" s="18" t="s">
        <v>118</v>
      </c>
      <c r="C12" s="20">
        <v>4.3302588890199329</v>
      </c>
      <c r="D12" s="66">
        <v>6.7108618015709771</v>
      </c>
      <c r="E12" s="20">
        <v>19.346093205042418</v>
      </c>
      <c r="F12" s="20">
        <v>5.59</v>
      </c>
      <c r="G12" s="20">
        <v>2.2981983807700543</v>
      </c>
      <c r="H12" s="20">
        <v>2.6544941474593893</v>
      </c>
      <c r="I12" s="139">
        <f t="shared" si="0"/>
        <v>40.929906423862768</v>
      </c>
      <c r="J12" s="22">
        <v>8.9403824248764359</v>
      </c>
      <c r="K12" s="141">
        <v>21.60932100851328</v>
      </c>
      <c r="L12" s="142">
        <f t="shared" si="1"/>
        <v>71.479609857252484</v>
      </c>
      <c r="M12" s="143"/>
      <c r="N12" s="20"/>
    </row>
    <row r="13" spans="1:14" ht="18.75" x14ac:dyDescent="0.3">
      <c r="A13" s="138">
        <f t="shared" si="2"/>
        <v>10</v>
      </c>
      <c r="B13" s="18" t="s">
        <v>34</v>
      </c>
      <c r="C13" s="20">
        <v>23.729920614459253</v>
      </c>
      <c r="D13" s="66">
        <v>17.643806481335996</v>
      </c>
      <c r="E13" s="20">
        <v>0</v>
      </c>
      <c r="F13" s="20">
        <v>16.78</v>
      </c>
      <c r="G13" s="20">
        <v>4.672531622462885</v>
      </c>
      <c r="H13" s="20">
        <v>4.4186354711011795</v>
      </c>
      <c r="I13" s="139">
        <f t="shared" si="0"/>
        <v>67.244894189359314</v>
      </c>
      <c r="J13" s="22">
        <v>25.843278859747755</v>
      </c>
      <c r="K13" s="141">
        <v>11.137019152159933</v>
      </c>
      <c r="L13" s="142">
        <f t="shared" si="1"/>
        <v>104.22519220126701</v>
      </c>
      <c r="M13" s="143"/>
      <c r="N13" s="20"/>
    </row>
    <row r="14" spans="1:14" ht="18" x14ac:dyDescent="0.25">
      <c r="A14" s="138">
        <f t="shared" si="2"/>
        <v>11</v>
      </c>
      <c r="B14" s="18" t="s">
        <v>36</v>
      </c>
      <c r="C14" s="20">
        <v>5.9869596450053084</v>
      </c>
      <c r="D14" s="20">
        <v>19.921309156064609</v>
      </c>
      <c r="E14" s="20">
        <v>9.0920926867838041</v>
      </c>
      <c r="F14" s="20">
        <v>9.98</v>
      </c>
      <c r="G14" s="20">
        <v>2.1608706357568472</v>
      </c>
      <c r="H14" s="20">
        <v>4.6954500077299466</v>
      </c>
      <c r="I14" s="139">
        <f t="shared" si="0"/>
        <v>51.836682131340524</v>
      </c>
      <c r="J14" s="22">
        <v>8.607486506369975</v>
      </c>
      <c r="K14" s="141">
        <v>1.523372466090394</v>
      </c>
      <c r="L14" s="142">
        <f t="shared" si="1"/>
        <v>61.96754110380089</v>
      </c>
      <c r="M14" s="143"/>
      <c r="N14" s="20"/>
    </row>
    <row r="15" spans="1:14" ht="18.75" x14ac:dyDescent="0.3">
      <c r="A15" s="138">
        <f t="shared" si="2"/>
        <v>12</v>
      </c>
      <c r="B15" s="18" t="s">
        <v>38</v>
      </c>
      <c r="C15" s="20">
        <v>21.200886290836184</v>
      </c>
      <c r="D15" s="66">
        <v>18.682994932709409</v>
      </c>
      <c r="E15" s="20">
        <v>28.062004572595139</v>
      </c>
      <c r="F15" s="20">
        <v>25.95</v>
      </c>
      <c r="G15" s="20">
        <v>5.2635568319987316</v>
      </c>
      <c r="H15" s="20">
        <v>3.5340152205608786</v>
      </c>
      <c r="I15" s="139">
        <f t="shared" si="0"/>
        <v>102.69345784870033</v>
      </c>
      <c r="J15" s="144">
        <v>28.498676026535744</v>
      </c>
      <c r="K15" s="141">
        <v>39.703991759229986</v>
      </c>
      <c r="L15" s="142">
        <f t="shared" si="1"/>
        <v>170.89612563446605</v>
      </c>
      <c r="M15" s="143"/>
      <c r="N15" s="20"/>
    </row>
    <row r="16" spans="1:14" ht="18.75" x14ac:dyDescent="0.3">
      <c r="A16" s="138">
        <f t="shared" si="2"/>
        <v>13</v>
      </c>
      <c r="B16" s="18" t="s">
        <v>40</v>
      </c>
      <c r="C16" s="20">
        <v>51.83554570543069</v>
      </c>
      <c r="D16" s="66">
        <v>31.713690086311672</v>
      </c>
      <c r="E16" s="20">
        <v>52.253144164558513</v>
      </c>
      <c r="F16" s="20">
        <v>33.21</v>
      </c>
      <c r="G16" s="20">
        <v>8.5008671641760714</v>
      </c>
      <c r="H16" s="20">
        <v>3.2411300180991227</v>
      </c>
      <c r="I16" s="139">
        <f t="shared" si="0"/>
        <v>180.75437713857607</v>
      </c>
      <c r="J16" s="22">
        <v>34.381509918457525</v>
      </c>
      <c r="K16" s="141">
        <v>27.430534814346494</v>
      </c>
      <c r="L16" s="142">
        <f t="shared" si="1"/>
        <v>242.56642187138007</v>
      </c>
      <c r="M16" s="143"/>
      <c r="N16" s="20"/>
    </row>
    <row r="17" spans="1:14" ht="18.75" x14ac:dyDescent="0.3">
      <c r="A17" s="138">
        <f t="shared" si="2"/>
        <v>14</v>
      </c>
      <c r="B17" s="18" t="s">
        <v>119</v>
      </c>
      <c r="C17" s="20">
        <v>11.820532304517045</v>
      </c>
      <c r="D17" s="66">
        <v>12.633616515220368</v>
      </c>
      <c r="E17" s="20">
        <v>47.80766294727011</v>
      </c>
      <c r="F17" s="20">
        <v>9.68</v>
      </c>
      <c r="G17" s="20">
        <v>3.0075775690447273</v>
      </c>
      <c r="H17" s="20">
        <v>2.2771073499346373</v>
      </c>
      <c r="I17" s="139">
        <f t="shared" si="0"/>
        <v>87.226496685986888</v>
      </c>
      <c r="J17" s="22">
        <v>19.808469712605881</v>
      </c>
      <c r="K17" s="141">
        <v>27.508783977733938</v>
      </c>
      <c r="L17" s="142">
        <f t="shared" si="1"/>
        <v>134.5437503763267</v>
      </c>
      <c r="M17" s="143"/>
      <c r="N17" s="20"/>
    </row>
    <row r="18" spans="1:14" ht="18.75" x14ac:dyDescent="0.3">
      <c r="A18" s="138">
        <f t="shared" si="2"/>
        <v>15</v>
      </c>
      <c r="B18" s="18" t="s">
        <v>120</v>
      </c>
      <c r="C18" s="20">
        <v>3.0842823446158968E-3</v>
      </c>
      <c r="D18" s="66">
        <v>1.0605365117596275</v>
      </c>
      <c r="E18" s="20">
        <v>26.078092479655652</v>
      </c>
      <c r="F18" s="20">
        <v>17.64</v>
      </c>
      <c r="G18" s="20">
        <v>2.1271622836341253</v>
      </c>
      <c r="H18" s="20">
        <v>14.486504343770784</v>
      </c>
      <c r="I18" s="139">
        <f t="shared" si="0"/>
        <v>61.395379901164802</v>
      </c>
      <c r="J18" s="22">
        <v>20.379085726292693</v>
      </c>
      <c r="K18" s="141">
        <v>0</v>
      </c>
      <c r="L18" s="142">
        <f t="shared" si="1"/>
        <v>81.774465627457488</v>
      </c>
      <c r="M18" s="143"/>
      <c r="N18" s="20"/>
    </row>
    <row r="19" spans="1:14" ht="18.75" x14ac:dyDescent="0.3">
      <c r="A19" s="138">
        <f t="shared" si="2"/>
        <v>16</v>
      </c>
      <c r="B19" s="18" t="s">
        <v>54</v>
      </c>
      <c r="C19" s="20">
        <v>35.437213069937485</v>
      </c>
      <c r="D19" s="66">
        <v>11.854539032078371</v>
      </c>
      <c r="E19" s="20">
        <v>17.600973204364664</v>
      </c>
      <c r="F19" s="20">
        <v>29.97</v>
      </c>
      <c r="G19" s="20">
        <v>4.9781552694231808</v>
      </c>
      <c r="H19" s="20">
        <v>3.6695989695649929</v>
      </c>
      <c r="I19" s="139">
        <f t="shared" si="0"/>
        <v>103.5104795453687</v>
      </c>
      <c r="J19" s="22">
        <v>27.039827459995571</v>
      </c>
      <c r="K19" s="141">
        <v>22.734796542364752</v>
      </c>
      <c r="L19" s="142">
        <f t="shared" si="1"/>
        <v>153.28510354772902</v>
      </c>
      <c r="M19" s="143"/>
      <c r="N19" s="20"/>
    </row>
    <row r="20" spans="1:14" ht="18.75" x14ac:dyDescent="0.3">
      <c r="A20" s="138">
        <f t="shared" si="2"/>
        <v>17</v>
      </c>
      <c r="B20" s="18" t="s">
        <v>58</v>
      </c>
      <c r="C20" s="20">
        <v>7.6955491319731122</v>
      </c>
      <c r="D20" s="66">
        <v>21.948950524906266</v>
      </c>
      <c r="E20" s="20">
        <v>62.299166823327425</v>
      </c>
      <c r="F20" s="20">
        <v>21.41</v>
      </c>
      <c r="G20" s="20">
        <v>5.2568264510027518</v>
      </c>
      <c r="H20" s="20">
        <v>1.4825706844203663</v>
      </c>
      <c r="I20" s="139">
        <f t="shared" si="0"/>
        <v>120.09306361562992</v>
      </c>
      <c r="J20" s="22">
        <v>42.610879237653563</v>
      </c>
      <c r="K20" s="141">
        <v>2.4973221130962115</v>
      </c>
      <c r="L20" s="142">
        <f t="shared" si="1"/>
        <v>165.20126496637968</v>
      </c>
      <c r="M20" s="143"/>
      <c r="N20" s="20"/>
    </row>
    <row r="21" spans="1:14" ht="18.75" x14ac:dyDescent="0.3">
      <c r="A21" s="138">
        <f t="shared" si="2"/>
        <v>18</v>
      </c>
      <c r="B21" s="18" t="s">
        <v>60</v>
      </c>
      <c r="C21" s="20">
        <v>9.7426450395093767</v>
      </c>
      <c r="D21" s="66">
        <v>10.140879772254987</v>
      </c>
      <c r="E21" s="20">
        <v>85.486760429260684</v>
      </c>
      <c r="F21" s="20">
        <v>12.49</v>
      </c>
      <c r="G21" s="20">
        <v>2.6672184410258151</v>
      </c>
      <c r="H21" s="20">
        <v>29.993289317336043</v>
      </c>
      <c r="I21" s="139">
        <f t="shared" si="0"/>
        <v>150.52079299938688</v>
      </c>
      <c r="J21" s="144">
        <v>64.450984436091403</v>
      </c>
      <c r="K21" s="141">
        <v>41.801560223387369</v>
      </c>
      <c r="L21" s="142">
        <f t="shared" si="1"/>
        <v>256.77333765886567</v>
      </c>
      <c r="M21" s="143"/>
      <c r="N21" s="20"/>
    </row>
    <row r="22" spans="1:14" s="27" customFormat="1" ht="18.75" x14ac:dyDescent="0.3">
      <c r="A22" s="138">
        <v>19</v>
      </c>
      <c r="B22" s="18" t="s">
        <v>122</v>
      </c>
      <c r="C22" s="20">
        <v>1.36</v>
      </c>
      <c r="D22" s="66">
        <v>2.44</v>
      </c>
      <c r="E22" s="20">
        <v>0</v>
      </c>
      <c r="F22" s="20">
        <v>2.93</v>
      </c>
      <c r="G22" s="20">
        <v>0.75318509799453792</v>
      </c>
      <c r="H22" s="20">
        <v>8.8127763853284051</v>
      </c>
      <c r="I22" s="139">
        <f t="shared" si="0"/>
        <v>16.295961483322944</v>
      </c>
      <c r="J22" s="22">
        <v>4.3098407694743592</v>
      </c>
      <c r="K22" s="141">
        <v>0.65987202825406854</v>
      </c>
      <c r="L22" s="142">
        <f t="shared" si="1"/>
        <v>21.265674281051371</v>
      </c>
      <c r="M22" s="143"/>
      <c r="N22" s="20"/>
    </row>
    <row r="23" spans="1:14" ht="18.75" x14ac:dyDescent="0.3">
      <c r="A23" s="138">
        <v>20</v>
      </c>
      <c r="B23" s="18" t="s">
        <v>121</v>
      </c>
      <c r="C23" s="20">
        <v>8.1199999999999992</v>
      </c>
      <c r="D23" s="66">
        <v>63.56</v>
      </c>
      <c r="E23" s="20">
        <v>56.701539257286314</v>
      </c>
      <c r="F23" s="20">
        <v>42.11</v>
      </c>
      <c r="G23" s="20">
        <v>14.248416851314264</v>
      </c>
      <c r="H23" s="20">
        <v>4.7683487290565978</v>
      </c>
      <c r="I23" s="139">
        <f t="shared" si="0"/>
        <v>189.50830483765719</v>
      </c>
      <c r="J23" s="144">
        <v>87.493866242660175</v>
      </c>
      <c r="K23" s="141">
        <v>2.3868729039267196</v>
      </c>
      <c r="L23" s="142">
        <f t="shared" si="1"/>
        <v>279.38904398424404</v>
      </c>
      <c r="M23" s="143"/>
      <c r="N23" s="20"/>
    </row>
    <row r="24" spans="1:14" ht="18.75" x14ac:dyDescent="0.3">
      <c r="A24" s="138">
        <v>21</v>
      </c>
      <c r="B24" s="18" t="s">
        <v>68</v>
      </c>
      <c r="C24" s="20">
        <v>7.86</v>
      </c>
      <c r="D24" s="66">
        <v>20.14</v>
      </c>
      <c r="E24" s="20">
        <v>18.45029504807404</v>
      </c>
      <c r="F24" s="20">
        <v>13.42</v>
      </c>
      <c r="G24" s="20">
        <v>6.8271464513504529</v>
      </c>
      <c r="H24" s="20">
        <v>4.8650571730716061</v>
      </c>
      <c r="I24" s="139">
        <f t="shared" si="0"/>
        <v>71.562498672496105</v>
      </c>
      <c r="J24" s="22">
        <v>57.669016011802775</v>
      </c>
      <c r="K24" s="141">
        <v>14.752873187339445</v>
      </c>
      <c r="L24" s="142">
        <f t="shared" si="1"/>
        <v>143.98438787163832</v>
      </c>
      <c r="M24" s="143"/>
      <c r="N24" s="20"/>
    </row>
    <row r="25" spans="1:14" ht="18.75" x14ac:dyDescent="0.3">
      <c r="A25" s="138"/>
      <c r="B25" s="135" t="s">
        <v>10</v>
      </c>
      <c r="C25" s="22">
        <f>SUM(C4:C24)</f>
        <v>249.36472033545374</v>
      </c>
      <c r="D25" s="154">
        <f>SUM(D4:D24)</f>
        <v>332.48044372667482</v>
      </c>
      <c r="E25" s="22">
        <v>498.70991986842552</v>
      </c>
      <c r="F25" s="22">
        <v>332.48</v>
      </c>
      <c r="G25" s="161">
        <f>SUM(G4:G24)</f>
        <v>83.120000000000019</v>
      </c>
      <c r="H25" s="161">
        <f>SUM(H4:H24)</f>
        <v>166.23398236482862</v>
      </c>
      <c r="I25" s="139">
        <f t="shared" si="0"/>
        <v>1662.3890662953827</v>
      </c>
      <c r="J25" s="22">
        <v>544.02</v>
      </c>
      <c r="K25" s="141">
        <v>283.5</v>
      </c>
      <c r="L25" s="142">
        <f t="shared" si="1"/>
        <v>2489.9090662953827</v>
      </c>
      <c r="M25" s="143"/>
      <c r="N25" s="20"/>
    </row>
    <row r="26" spans="1:14" ht="18.75" x14ac:dyDescent="0.3">
      <c r="A26" s="138"/>
      <c r="B26" s="135" t="s">
        <v>123</v>
      </c>
      <c r="C26" s="22"/>
      <c r="D26" s="154"/>
      <c r="E26" s="22"/>
      <c r="F26" s="22"/>
      <c r="G26" s="22"/>
      <c r="H26" s="22"/>
      <c r="I26" s="139"/>
      <c r="L26" s="142"/>
      <c r="M26" s="145"/>
      <c r="N26" s="22"/>
    </row>
    <row r="27" spans="1:14" ht="18" x14ac:dyDescent="0.25">
      <c r="A27" s="138">
        <v>1</v>
      </c>
      <c r="B27" s="18" t="s">
        <v>14</v>
      </c>
      <c r="C27" s="20">
        <v>1.283674201702347</v>
      </c>
      <c r="D27" s="20">
        <v>0.47430433793887194</v>
      </c>
      <c r="E27" s="20">
        <v>5.3549931014964454</v>
      </c>
      <c r="F27" s="20">
        <v>3.4070738293973148</v>
      </c>
      <c r="G27" s="20">
        <v>0.30378005970877164</v>
      </c>
      <c r="H27" s="20">
        <v>2.0087947588024746</v>
      </c>
      <c r="I27" s="139">
        <f t="shared" si="0"/>
        <v>12.832620289046224</v>
      </c>
      <c r="J27" s="22">
        <v>0.5951787833445128</v>
      </c>
      <c r="K27" s="141">
        <v>3.7040367977988513</v>
      </c>
      <c r="L27" s="142">
        <f t="shared" si="1"/>
        <v>17.13183587018959</v>
      </c>
      <c r="M27" s="146"/>
      <c r="N27" s="20"/>
    </row>
    <row r="28" spans="1:14" ht="18.75" x14ac:dyDescent="0.3">
      <c r="A28" s="138">
        <v>2</v>
      </c>
      <c r="B28" s="18" t="s">
        <v>16</v>
      </c>
      <c r="C28" s="20">
        <v>19.211222058292496</v>
      </c>
      <c r="D28" s="66">
        <v>27.0669295661231</v>
      </c>
      <c r="E28" s="20">
        <v>8.1082231341611344</v>
      </c>
      <c r="F28" s="20">
        <v>21.876904885561181</v>
      </c>
      <c r="G28" s="20">
        <v>6.5925486805987132</v>
      </c>
      <c r="H28" s="20">
        <v>3.29672312629955</v>
      </c>
      <c r="I28" s="139">
        <f t="shared" si="0"/>
        <v>86.152551451036189</v>
      </c>
      <c r="J28" s="22">
        <v>45.068153224656044</v>
      </c>
      <c r="K28" s="141">
        <v>15.858058468411091</v>
      </c>
      <c r="L28" s="142">
        <f t="shared" si="1"/>
        <v>147.07876314410331</v>
      </c>
      <c r="M28" s="143"/>
      <c r="N28" s="20"/>
    </row>
    <row r="29" spans="1:14" ht="18.75" x14ac:dyDescent="0.3">
      <c r="A29" s="138">
        <v>3</v>
      </c>
      <c r="B29" s="18" t="s">
        <v>124</v>
      </c>
      <c r="C29" s="20">
        <v>2.380835431404515</v>
      </c>
      <c r="D29" s="66">
        <v>1.4603326946003392</v>
      </c>
      <c r="E29" s="20">
        <v>1.0820059904953956</v>
      </c>
      <c r="F29" s="20">
        <v>1.8892065042515569</v>
      </c>
      <c r="G29" s="20">
        <v>0.62837699163298244</v>
      </c>
      <c r="H29" s="20">
        <v>1.8845135910895185</v>
      </c>
      <c r="I29" s="139">
        <f t="shared" si="0"/>
        <v>9.3252712034743066</v>
      </c>
      <c r="J29" s="22">
        <v>1.9572225375367629</v>
      </c>
      <c r="K29" s="141">
        <v>4.5070673726564072</v>
      </c>
      <c r="L29" s="142">
        <f t="shared" si="1"/>
        <v>15.789561113667478</v>
      </c>
      <c r="M29" s="143"/>
      <c r="N29" s="20"/>
    </row>
    <row r="30" spans="1:14" ht="18.75" x14ac:dyDescent="0.3">
      <c r="A30" s="138">
        <v>4</v>
      </c>
      <c r="B30" s="18" t="s">
        <v>125</v>
      </c>
      <c r="C30" s="20">
        <v>1.5569303791591438</v>
      </c>
      <c r="D30" s="66">
        <v>1.8659722671483205</v>
      </c>
      <c r="E30" s="20">
        <v>0.51170627822785408</v>
      </c>
      <c r="F30" s="20">
        <v>2.3203820668090485</v>
      </c>
      <c r="G30" s="20">
        <v>0.62358631947748899</v>
      </c>
      <c r="H30" s="20">
        <v>2.2664550879628287</v>
      </c>
      <c r="I30" s="139">
        <f t="shared" si="0"/>
        <v>9.1450323987846858</v>
      </c>
      <c r="J30" s="22">
        <v>0.33981361369685892</v>
      </c>
      <c r="K30" s="141">
        <v>9.6756553823019242</v>
      </c>
      <c r="L30" s="142">
        <f t="shared" si="1"/>
        <v>19.160501394783466</v>
      </c>
      <c r="M30" s="143"/>
      <c r="N30" s="20"/>
    </row>
    <row r="31" spans="1:14" ht="18.75" x14ac:dyDescent="0.3">
      <c r="A31" s="138">
        <v>5</v>
      </c>
      <c r="B31" s="18" t="s">
        <v>126</v>
      </c>
      <c r="C31" s="20">
        <v>0.97539782821769394</v>
      </c>
      <c r="D31" s="66">
        <v>0.92982906603755955</v>
      </c>
      <c r="E31" s="20">
        <v>0</v>
      </c>
      <c r="F31" s="20">
        <v>1.8262181655241607</v>
      </c>
      <c r="G31" s="20">
        <v>0.24464314441360602</v>
      </c>
      <c r="H31" s="20">
        <v>2.013058636538108</v>
      </c>
      <c r="I31" s="139">
        <f t="shared" si="0"/>
        <v>5.9891468407311281</v>
      </c>
      <c r="J31" s="22">
        <v>2.6354070238590252E-2</v>
      </c>
      <c r="K31" s="141">
        <v>4.3919527444630821</v>
      </c>
      <c r="L31" s="142">
        <f t="shared" si="1"/>
        <v>10.4074536554328</v>
      </c>
      <c r="M31" s="143"/>
      <c r="N31" s="20"/>
    </row>
    <row r="32" spans="1:14" ht="18.75" x14ac:dyDescent="0.3">
      <c r="A32" s="138">
        <v>6</v>
      </c>
      <c r="B32" s="18" t="s">
        <v>48</v>
      </c>
      <c r="C32" s="20">
        <v>2.1778615991746197</v>
      </c>
      <c r="D32" s="66">
        <v>0.31179966455399527</v>
      </c>
      <c r="E32" s="20">
        <v>21.133919529250839</v>
      </c>
      <c r="F32" s="20">
        <v>2.8857519045044135</v>
      </c>
      <c r="G32" s="20">
        <v>0.45092060900914938</v>
      </c>
      <c r="H32" s="20">
        <v>1.9401887985823916</v>
      </c>
      <c r="I32" s="139">
        <f t="shared" si="0"/>
        <v>28.900442105075406</v>
      </c>
      <c r="J32" s="22">
        <v>0</v>
      </c>
      <c r="K32" s="141">
        <v>7.0338565600206797</v>
      </c>
      <c r="L32" s="142">
        <f t="shared" si="1"/>
        <v>35.934298665096087</v>
      </c>
      <c r="M32" s="143"/>
      <c r="N32" s="20"/>
    </row>
    <row r="33" spans="1:14" ht="18.75" x14ac:dyDescent="0.3">
      <c r="A33" s="138">
        <v>7</v>
      </c>
      <c r="B33" s="18" t="s">
        <v>127</v>
      </c>
      <c r="C33" s="20">
        <v>0.49436160473840446</v>
      </c>
      <c r="D33" s="66">
        <v>0.66765873572375423</v>
      </c>
      <c r="E33" s="20">
        <v>8.2381841016025739</v>
      </c>
      <c r="F33" s="20">
        <v>0.64868034184530476</v>
      </c>
      <c r="G33" s="20">
        <v>0.14882199639986252</v>
      </c>
      <c r="H33" s="20">
        <v>1.9610712451610528</v>
      </c>
      <c r="I33" s="139">
        <f t="shared" si="0"/>
        <v>12.158778025470951</v>
      </c>
      <c r="J33" s="22">
        <v>0.5703636369154752</v>
      </c>
      <c r="K33" s="141">
        <v>0.93021942983146444</v>
      </c>
      <c r="L33" s="142">
        <f t="shared" si="1"/>
        <v>13.659361092217891</v>
      </c>
      <c r="M33" s="143"/>
      <c r="N33" s="20"/>
    </row>
    <row r="34" spans="1:14" ht="18.75" x14ac:dyDescent="0.3">
      <c r="A34" s="138">
        <v>8</v>
      </c>
      <c r="B34" s="20" t="s">
        <v>128</v>
      </c>
      <c r="C34" s="20">
        <v>1.340419819448027</v>
      </c>
      <c r="D34" s="66">
        <v>6.4431736678740625</v>
      </c>
      <c r="E34" s="20">
        <v>14.400692680510845</v>
      </c>
      <c r="F34" s="20">
        <v>4.3657825228321796</v>
      </c>
      <c r="G34" s="20">
        <v>0.8073221987594259</v>
      </c>
      <c r="H34" s="20">
        <v>4.2392632359305695</v>
      </c>
      <c r="I34" s="139">
        <f t="shared" si="0"/>
        <v>31.596654125355112</v>
      </c>
      <c r="J34" s="22">
        <v>14.822914133611757</v>
      </c>
      <c r="K34" s="141">
        <v>5.3991532445164969</v>
      </c>
      <c r="L34" s="142">
        <f t="shared" si="1"/>
        <v>51.818721503483367</v>
      </c>
      <c r="M34" s="143"/>
      <c r="N34" s="20"/>
    </row>
    <row r="35" spans="1:14" ht="18.75" x14ac:dyDescent="0.3">
      <c r="C35" s="22">
        <v>29.420702922137249</v>
      </c>
      <c r="D35" s="154">
        <v>39.22</v>
      </c>
      <c r="E35" s="22">
        <v>58.829724815745088</v>
      </c>
      <c r="F35" s="22">
        <v>39.220000220725161</v>
      </c>
      <c r="G35" s="22">
        <v>9.8000000000000007</v>
      </c>
      <c r="H35" s="139">
        <v>19.610068480366493</v>
      </c>
      <c r="I35" s="139">
        <f t="shared" si="0"/>
        <v>196.10049643897401</v>
      </c>
      <c r="J35" s="22">
        <v>63.38</v>
      </c>
      <c r="K35" s="22">
        <v>51.5</v>
      </c>
      <c r="L35" s="142">
        <f t="shared" si="1"/>
        <v>310.980496438974</v>
      </c>
      <c r="M35" s="143"/>
      <c r="N35" s="20"/>
    </row>
    <row r="36" spans="1:14" ht="18.75" x14ac:dyDescent="0.3">
      <c r="A36" s="18"/>
      <c r="B36" s="22" t="s">
        <v>10</v>
      </c>
      <c r="C36" s="22"/>
      <c r="D36" s="154"/>
      <c r="E36" s="22"/>
      <c r="F36" s="22"/>
      <c r="G36" s="22"/>
      <c r="H36" s="139"/>
      <c r="I36" s="139"/>
      <c r="J36" s="22"/>
      <c r="K36" s="22"/>
      <c r="L36" s="142"/>
      <c r="M36" s="145"/>
      <c r="N36" s="22"/>
    </row>
    <row r="37" spans="1:14" ht="18" x14ac:dyDescent="0.25">
      <c r="A37" s="147"/>
      <c r="B37" s="148" t="s">
        <v>242</v>
      </c>
      <c r="C37" s="124"/>
      <c r="D37" s="124"/>
      <c r="E37" s="149"/>
      <c r="F37" s="124"/>
      <c r="G37" s="124"/>
      <c r="H37" s="124"/>
      <c r="I37" s="124"/>
      <c r="J37" s="124"/>
      <c r="K37" s="124"/>
      <c r="L37" s="124"/>
      <c r="M37" s="150"/>
      <c r="N37" s="124"/>
    </row>
    <row r="38" spans="1:14" ht="42.75" customHeight="1" x14ac:dyDescent="0.25">
      <c r="A38" s="151">
        <v>1</v>
      </c>
      <c r="B38" s="152" t="s">
        <v>243</v>
      </c>
      <c r="C38" s="124"/>
      <c r="D38" s="124"/>
      <c r="E38" s="149"/>
      <c r="F38" s="124"/>
      <c r="G38" s="124"/>
      <c r="H38" s="124"/>
      <c r="I38" s="124"/>
      <c r="J38" s="124"/>
      <c r="K38" s="124"/>
      <c r="L38" s="153"/>
      <c r="M38" s="150"/>
      <c r="N38" s="124"/>
    </row>
    <row r="39" spans="1:14" ht="18" x14ac:dyDescent="0.25">
      <c r="A39" s="151">
        <v>2</v>
      </c>
      <c r="B39" s="124" t="s">
        <v>244</v>
      </c>
      <c r="C39" s="124"/>
      <c r="D39" s="124"/>
      <c r="E39" s="149"/>
      <c r="F39" s="124"/>
      <c r="G39" s="124"/>
      <c r="H39" s="124"/>
      <c r="I39" s="124"/>
      <c r="J39" s="124"/>
      <c r="K39" s="124"/>
      <c r="L39" s="153"/>
      <c r="M39" s="150"/>
      <c r="N39" s="124"/>
    </row>
    <row r="40" spans="1:14" ht="18" x14ac:dyDescent="0.25">
      <c r="A40" s="151">
        <v>3</v>
      </c>
      <c r="B40" s="124" t="s">
        <v>245</v>
      </c>
      <c r="C40" s="124"/>
      <c r="D40" s="124"/>
      <c r="E40" s="149"/>
      <c r="F40" s="124"/>
      <c r="G40" s="124"/>
      <c r="H40" s="124"/>
      <c r="I40" s="124"/>
      <c r="J40" s="124"/>
      <c r="K40" s="124"/>
      <c r="L40" s="153"/>
      <c r="M40" s="150"/>
      <c r="N40" s="124"/>
    </row>
    <row r="41" spans="1:14" ht="18" x14ac:dyDescent="0.25">
      <c r="A41" s="151">
        <v>4</v>
      </c>
      <c r="B41" s="124" t="s">
        <v>246</v>
      </c>
      <c r="C41" s="124"/>
      <c r="D41" s="124"/>
      <c r="E41" s="149"/>
      <c r="F41" s="124"/>
      <c r="G41" s="124"/>
      <c r="H41" s="124"/>
      <c r="I41" s="124"/>
      <c r="J41" s="124"/>
      <c r="K41" s="124"/>
      <c r="L41" s="153"/>
      <c r="M41" s="150"/>
      <c r="N41" s="124"/>
    </row>
    <row r="42" spans="1:14" ht="18" x14ac:dyDescent="0.25">
      <c r="A42" s="151">
        <v>5</v>
      </c>
      <c r="B42" s="124" t="s">
        <v>247</v>
      </c>
      <c r="C42" s="124"/>
      <c r="D42" s="124"/>
      <c r="E42" s="149"/>
      <c r="F42" s="124"/>
      <c r="G42" s="124"/>
      <c r="H42" s="124"/>
      <c r="I42" s="124"/>
      <c r="J42" s="124"/>
      <c r="K42" s="124"/>
      <c r="L42" s="153"/>
      <c r="M42" s="150"/>
      <c r="N42" s="124"/>
    </row>
    <row r="43" spans="1:14" ht="18" x14ac:dyDescent="0.25">
      <c r="A43" s="151">
        <v>6</v>
      </c>
      <c r="B43" s="124" t="s">
        <v>248</v>
      </c>
      <c r="C43" s="124"/>
      <c r="D43" s="124"/>
      <c r="E43" s="149"/>
      <c r="F43" s="124"/>
      <c r="G43" s="124"/>
      <c r="H43" s="124"/>
      <c r="I43" s="124"/>
      <c r="J43" s="124"/>
      <c r="K43" s="124"/>
      <c r="L43" s="153"/>
      <c r="M43" s="150"/>
      <c r="N43" s="124"/>
    </row>
    <row r="44" spans="1:14" ht="18" x14ac:dyDescent="0.25">
      <c r="A44" s="151">
        <v>7</v>
      </c>
      <c r="B44" s="124" t="s">
        <v>249</v>
      </c>
      <c r="C44" s="124"/>
      <c r="D44" s="124"/>
      <c r="E44" s="149"/>
      <c r="F44" s="124"/>
      <c r="G44" s="124"/>
      <c r="H44" s="124"/>
      <c r="I44" s="124"/>
      <c r="J44" s="124"/>
      <c r="K44" s="124"/>
      <c r="L44" s="153"/>
      <c r="M44" s="150"/>
      <c r="N44" s="124"/>
    </row>
    <row r="45" spans="1:14" ht="18.75" thickBot="1" x14ac:dyDescent="0.3">
      <c r="A45" s="147"/>
      <c r="B45" s="184"/>
      <c r="C45" s="184"/>
      <c r="D45" s="184"/>
      <c r="E45" s="185"/>
      <c r="F45" s="184"/>
      <c r="G45" s="184"/>
      <c r="H45" s="184"/>
      <c r="I45" s="184"/>
      <c r="J45" s="184"/>
      <c r="K45" s="184"/>
      <c r="L45" s="153"/>
      <c r="M45" s="150"/>
      <c r="N45" s="124"/>
    </row>
    <row r="46" spans="1:14" ht="18" x14ac:dyDescent="0.25">
      <c r="A46" s="182" t="s">
        <v>250</v>
      </c>
      <c r="B46" s="269" t="s">
        <v>251</v>
      </c>
      <c r="C46" s="270"/>
      <c r="D46" s="270"/>
      <c r="E46" s="270"/>
      <c r="F46" s="270"/>
      <c r="G46" s="270"/>
      <c r="H46" s="270"/>
      <c r="I46" s="270"/>
      <c r="J46" s="270"/>
      <c r="K46" s="186"/>
      <c r="L46" s="183"/>
      <c r="M46" s="150"/>
      <c r="N46" s="124"/>
    </row>
    <row r="47" spans="1:14" ht="18" x14ac:dyDescent="0.25">
      <c r="A47" s="182"/>
      <c r="B47" s="271" t="s">
        <v>259</v>
      </c>
      <c r="C47" s="272"/>
      <c r="D47" s="272"/>
      <c r="E47" s="272"/>
      <c r="F47" s="272"/>
      <c r="G47" s="272"/>
      <c r="H47" s="272"/>
      <c r="I47" s="272"/>
      <c r="J47" s="272"/>
      <c r="K47" s="187"/>
      <c r="L47" s="183"/>
      <c r="M47" s="150"/>
      <c r="N47" s="124"/>
    </row>
    <row r="48" spans="1:14" ht="42.75" customHeight="1" x14ac:dyDescent="0.25">
      <c r="A48" s="182"/>
      <c r="B48" s="273" t="s">
        <v>261</v>
      </c>
      <c r="C48" s="274"/>
      <c r="D48" s="274"/>
      <c r="E48" s="274"/>
      <c r="F48" s="274"/>
      <c r="G48" s="274"/>
      <c r="H48" s="274"/>
      <c r="I48" s="274"/>
      <c r="J48" s="275"/>
      <c r="K48" s="187"/>
      <c r="L48" s="183"/>
      <c r="M48" s="150"/>
      <c r="N48" s="124"/>
    </row>
    <row r="49" spans="1:14" ht="33" customHeight="1" x14ac:dyDescent="0.25">
      <c r="A49" s="182"/>
      <c r="B49" s="276" t="s">
        <v>289</v>
      </c>
      <c r="C49" s="277"/>
      <c r="D49" s="277"/>
      <c r="E49" s="277"/>
      <c r="F49" s="277"/>
      <c r="G49" s="277"/>
      <c r="H49" s="277"/>
      <c r="I49" s="277"/>
      <c r="J49" s="277"/>
      <c r="K49" s="278"/>
      <c r="L49" s="183"/>
      <c r="M49" s="150"/>
      <c r="N49" s="124"/>
    </row>
    <row r="50" spans="1:14" ht="24.75" customHeight="1" x14ac:dyDescent="0.25">
      <c r="A50" s="182"/>
      <c r="B50" s="276" t="s">
        <v>284</v>
      </c>
      <c r="C50" s="277"/>
      <c r="D50" s="277"/>
      <c r="E50" s="277"/>
      <c r="F50" s="277"/>
      <c r="G50" s="277"/>
      <c r="H50" s="277"/>
      <c r="I50" s="277"/>
      <c r="J50" s="277"/>
      <c r="K50" s="278"/>
      <c r="L50" s="183"/>
      <c r="M50" s="150"/>
      <c r="N50" s="124"/>
    </row>
    <row r="51" spans="1:14" ht="25.5" customHeight="1" x14ac:dyDescent="0.25">
      <c r="A51" s="182"/>
      <c r="B51" s="276" t="s">
        <v>285</v>
      </c>
      <c r="C51" s="277"/>
      <c r="D51" s="277"/>
      <c r="E51" s="277"/>
      <c r="F51" s="277"/>
      <c r="G51" s="277"/>
      <c r="H51" s="277"/>
      <c r="I51" s="277"/>
      <c r="J51" s="277"/>
      <c r="K51" s="278"/>
      <c r="L51" s="183"/>
      <c r="M51" s="150"/>
      <c r="N51" s="124"/>
    </row>
    <row r="52" spans="1:14" ht="30.75" customHeight="1" x14ac:dyDescent="0.25">
      <c r="A52" s="182"/>
      <c r="B52" s="276" t="s">
        <v>286</v>
      </c>
      <c r="C52" s="277"/>
      <c r="D52" s="277"/>
      <c r="E52" s="277"/>
      <c r="F52" s="277"/>
      <c r="G52" s="277"/>
      <c r="H52" s="277"/>
      <c r="I52" s="277"/>
      <c r="J52" s="277"/>
      <c r="K52" s="278"/>
      <c r="L52" s="183"/>
      <c r="M52" s="150"/>
      <c r="N52" s="124"/>
    </row>
    <row r="53" spans="1:14" ht="18" customHeight="1" x14ac:dyDescent="0.25">
      <c r="A53" s="182"/>
      <c r="B53" s="276" t="s">
        <v>287</v>
      </c>
      <c r="C53" s="277"/>
      <c r="D53" s="277"/>
      <c r="E53" s="277"/>
      <c r="F53" s="277"/>
      <c r="G53" s="277"/>
      <c r="H53" s="277"/>
      <c r="I53" s="277"/>
      <c r="J53" s="277"/>
      <c r="K53" s="278"/>
      <c r="L53" s="183"/>
      <c r="M53" s="150"/>
      <c r="N53" s="124"/>
    </row>
    <row r="54" spans="1:14" ht="18.75" thickBot="1" x14ac:dyDescent="0.3">
      <c r="A54" s="147"/>
      <c r="B54" s="266" t="s">
        <v>288</v>
      </c>
      <c r="C54" s="267"/>
      <c r="D54" s="267"/>
      <c r="E54" s="267"/>
      <c r="F54" s="267"/>
      <c r="G54" s="267"/>
      <c r="H54" s="267"/>
      <c r="I54" s="267"/>
      <c r="J54" s="267"/>
      <c r="K54" s="268"/>
      <c r="L54" s="147"/>
      <c r="M54" s="147"/>
      <c r="N54" s="124"/>
    </row>
    <row r="55" spans="1:14" ht="16.5" thickBot="1" x14ac:dyDescent="0.3">
      <c r="B55" s="188" t="s">
        <v>290</v>
      </c>
      <c r="C55" s="189"/>
      <c r="D55" s="189"/>
      <c r="E55" s="189"/>
      <c r="F55" s="189"/>
      <c r="G55" s="189"/>
      <c r="H55" s="189"/>
      <c r="I55" s="189"/>
      <c r="J55" s="189"/>
      <c r="K55" s="190"/>
    </row>
  </sheetData>
  <mergeCells count="15">
    <mergeCell ref="B54:K54"/>
    <mergeCell ref="B46:J46"/>
    <mergeCell ref="B47:J47"/>
    <mergeCell ref="B48:J48"/>
    <mergeCell ref="B49:K49"/>
    <mergeCell ref="B50:K50"/>
    <mergeCell ref="B51:K51"/>
    <mergeCell ref="B52:K52"/>
    <mergeCell ref="B53:K53"/>
    <mergeCell ref="A1:N1"/>
    <mergeCell ref="J2:J3"/>
    <mergeCell ref="K2:K3"/>
    <mergeCell ref="L2:L3"/>
    <mergeCell ref="M2:M3"/>
    <mergeCell ref="N2:N3"/>
  </mergeCells>
  <pageMargins left="0.7" right="0.7" top="0.75" bottom="0.75" header="0.3" footer="0.3"/>
  <pageSetup scale="4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
  <sheetViews>
    <sheetView topLeftCell="B1" zoomScaleNormal="100" workbookViewId="0">
      <selection activeCell="X5" sqref="X5"/>
    </sheetView>
  </sheetViews>
  <sheetFormatPr defaultRowHeight="15" x14ac:dyDescent="0.25"/>
  <cols>
    <col min="1" max="1" width="6.42578125" style="27" customWidth="1"/>
    <col min="2" max="2" width="17.85546875" style="27" customWidth="1"/>
    <col min="3" max="4" width="14.28515625" style="27" customWidth="1"/>
    <col min="5" max="5" width="12.85546875" style="27" customWidth="1"/>
    <col min="6" max="6" width="10.42578125" style="27" bestFit="1" customWidth="1"/>
    <col min="7" max="7" width="10.42578125" style="27" customWidth="1"/>
    <col min="8" max="8" width="12.140625" style="27" customWidth="1"/>
    <col min="9" max="9" width="10.85546875" style="27" bestFit="1" customWidth="1"/>
    <col min="10" max="10" width="10.85546875" style="27" customWidth="1"/>
    <col min="11" max="13" width="11.42578125" style="27" customWidth="1"/>
    <col min="14" max="14" width="12.5703125" style="27" customWidth="1"/>
    <col min="15" max="16" width="10.140625" style="27" customWidth="1"/>
    <col min="17" max="17" width="13.140625" style="27" customWidth="1"/>
    <col min="18" max="18" width="13.28515625" style="27" customWidth="1"/>
    <col min="19" max="20" width="13.140625" style="27" customWidth="1"/>
    <col min="21" max="16384" width="9.140625" style="27"/>
  </cols>
  <sheetData>
    <row r="1" spans="1:22" ht="72" customHeight="1" x14ac:dyDescent="0.25">
      <c r="A1" s="200" t="s">
        <v>111</v>
      </c>
      <c r="B1" s="200" t="s">
        <v>166</v>
      </c>
      <c r="C1" s="198" t="s">
        <v>276</v>
      </c>
      <c r="D1" s="198"/>
      <c r="E1" s="198"/>
      <c r="F1" s="198" t="s">
        <v>275</v>
      </c>
      <c r="G1" s="198"/>
      <c r="H1" s="198"/>
      <c r="I1" s="198" t="s">
        <v>274</v>
      </c>
      <c r="J1" s="198"/>
      <c r="K1" s="198"/>
      <c r="L1" s="198" t="s">
        <v>273</v>
      </c>
      <c r="M1" s="198"/>
      <c r="N1" s="198"/>
      <c r="O1" s="198" t="s">
        <v>272</v>
      </c>
      <c r="P1" s="198"/>
      <c r="Q1" s="198"/>
      <c r="R1" s="193" t="s">
        <v>271</v>
      </c>
      <c r="S1" s="193" t="s">
        <v>270</v>
      </c>
      <c r="T1" s="180"/>
    </row>
    <row r="2" spans="1:22" ht="43.5" customHeight="1" x14ac:dyDescent="0.25">
      <c r="A2" s="200"/>
      <c r="B2" s="200"/>
      <c r="C2" s="178" t="s">
        <v>269</v>
      </c>
      <c r="D2" s="178" t="s">
        <v>268</v>
      </c>
      <c r="E2" s="27" t="s">
        <v>266</v>
      </c>
      <c r="F2" s="178" t="s">
        <v>269</v>
      </c>
      <c r="G2" s="178" t="s">
        <v>268</v>
      </c>
      <c r="H2" s="179" t="s">
        <v>266</v>
      </c>
      <c r="I2" s="178" t="s">
        <v>269</v>
      </c>
      <c r="J2" s="178" t="s">
        <v>268</v>
      </c>
      <c r="K2" s="179" t="s">
        <v>266</v>
      </c>
      <c r="L2" s="178" t="s">
        <v>269</v>
      </c>
      <c r="M2" s="178" t="s">
        <v>268</v>
      </c>
      <c r="N2" s="179" t="s">
        <v>266</v>
      </c>
      <c r="O2" s="178" t="s">
        <v>269</v>
      </c>
      <c r="P2" s="178" t="s">
        <v>268</v>
      </c>
      <c r="Q2" s="177" t="s">
        <v>267</v>
      </c>
      <c r="R2" s="194"/>
      <c r="S2" s="199"/>
      <c r="T2" s="176" t="s">
        <v>266</v>
      </c>
    </row>
    <row r="3" spans="1:22" ht="20.100000000000001" customHeight="1" x14ac:dyDescent="0.25">
      <c r="A3" s="174">
        <v>1</v>
      </c>
      <c r="B3" s="173" t="s">
        <v>116</v>
      </c>
      <c r="C3" s="167">
        <v>2105</v>
      </c>
      <c r="D3" s="167">
        <v>7452.4320000000007</v>
      </c>
      <c r="E3" s="27">
        <v>35.4</v>
      </c>
      <c r="F3" s="167">
        <v>134</v>
      </c>
      <c r="G3" s="167">
        <v>66</v>
      </c>
      <c r="H3" s="172">
        <v>4.93</v>
      </c>
      <c r="I3" s="167">
        <v>500</v>
      </c>
      <c r="J3" s="167">
        <v>329</v>
      </c>
      <c r="K3" s="172">
        <v>6.58</v>
      </c>
      <c r="L3" s="171"/>
      <c r="M3" s="171"/>
      <c r="O3" s="171">
        <v>397</v>
      </c>
      <c r="P3" s="171">
        <v>381</v>
      </c>
      <c r="Q3" s="27">
        <v>9.6</v>
      </c>
      <c r="R3" s="167">
        <f t="shared" ref="R3:R31" si="0">C3+F3+I3+L3+O3</f>
        <v>3136</v>
      </c>
      <c r="S3" s="167">
        <f t="shared" ref="S3:S31" si="1">D3+G3+J3+M3+P3</f>
        <v>8228.4320000000007</v>
      </c>
      <c r="T3" s="167">
        <f t="shared" ref="T3:T32" si="2">S3/R3</f>
        <v>2.6238622448979596</v>
      </c>
      <c r="V3" s="27">
        <v>2.6238622448979596</v>
      </c>
    </row>
    <row r="4" spans="1:22" ht="20.100000000000001" customHeight="1" x14ac:dyDescent="0.25">
      <c r="A4" s="174">
        <f t="shared" ref="A4:A26" si="3">A3+1</f>
        <v>2</v>
      </c>
      <c r="B4" s="173" t="s">
        <v>14</v>
      </c>
      <c r="C4" s="167">
        <v>131</v>
      </c>
      <c r="D4" s="167">
        <v>220.00000000000003</v>
      </c>
      <c r="E4" s="27">
        <v>0</v>
      </c>
      <c r="F4" s="167">
        <v>1.2869999999999999</v>
      </c>
      <c r="G4" s="167">
        <v>1.2769999999999999</v>
      </c>
      <c r="I4" s="167">
        <v>2.5259999999999998</v>
      </c>
      <c r="J4" s="167">
        <v>2.2010000000000001</v>
      </c>
      <c r="L4" s="171">
        <v>3.91</v>
      </c>
      <c r="M4" s="171">
        <v>7.7</v>
      </c>
      <c r="O4" s="171"/>
      <c r="P4" s="171"/>
      <c r="R4" s="167">
        <f t="shared" si="0"/>
        <v>138.72300000000001</v>
      </c>
      <c r="S4" s="167">
        <f t="shared" si="1"/>
        <v>231.178</v>
      </c>
      <c r="T4" s="167">
        <f t="shared" si="2"/>
        <v>1.6664720341976456</v>
      </c>
      <c r="U4" s="27">
        <v>1.6664720341976456</v>
      </c>
      <c r="V4" s="27">
        <v>2.3809361453060536</v>
      </c>
    </row>
    <row r="5" spans="1:22" ht="20.100000000000001" customHeight="1" x14ac:dyDescent="0.25">
      <c r="A5" s="174">
        <f t="shared" si="3"/>
        <v>3</v>
      </c>
      <c r="B5" s="173" t="s">
        <v>16</v>
      </c>
      <c r="C5" s="167">
        <v>2467.136</v>
      </c>
      <c r="D5" s="167">
        <v>4727.375</v>
      </c>
      <c r="E5" s="27">
        <v>19.16</v>
      </c>
      <c r="F5" s="167">
        <v>10.702</v>
      </c>
      <c r="G5" s="167">
        <v>7.423</v>
      </c>
      <c r="I5" s="167">
        <v>57.42</v>
      </c>
      <c r="J5" s="167">
        <v>38.892000000000003</v>
      </c>
      <c r="K5" s="172">
        <v>6.77</v>
      </c>
      <c r="L5" s="171">
        <v>17.452000000000002</v>
      </c>
      <c r="M5" s="171">
        <v>23.454000000000001</v>
      </c>
      <c r="N5" s="172">
        <v>13.44</v>
      </c>
      <c r="O5" s="171">
        <v>2.4289999999999998</v>
      </c>
      <c r="P5" s="171">
        <v>1.5820000000000001</v>
      </c>
      <c r="Q5" s="175">
        <v>6.51</v>
      </c>
      <c r="R5" s="167">
        <f t="shared" si="0"/>
        <v>2555.1390000000006</v>
      </c>
      <c r="S5" s="167">
        <f t="shared" si="1"/>
        <v>4798.7259999999997</v>
      </c>
      <c r="T5" s="167">
        <f t="shared" si="2"/>
        <v>1.8780684729871833</v>
      </c>
      <c r="U5" s="27">
        <v>1.8780684729871833</v>
      </c>
      <c r="V5" s="27">
        <v>1.9689344374799833</v>
      </c>
    </row>
    <row r="6" spans="1:22" ht="20.100000000000001" customHeight="1" x14ac:dyDescent="0.25">
      <c r="A6" s="174">
        <f t="shared" si="3"/>
        <v>4</v>
      </c>
      <c r="B6" s="173" t="s">
        <v>18</v>
      </c>
      <c r="C6" s="167">
        <v>3339.7769999999996</v>
      </c>
      <c r="D6" s="167">
        <v>8239.2567479999998</v>
      </c>
      <c r="E6" s="27">
        <v>0</v>
      </c>
      <c r="F6" s="167">
        <v>172.23400000000001</v>
      </c>
      <c r="G6" s="167">
        <v>119.876</v>
      </c>
      <c r="I6" s="167">
        <v>12.983000000000001</v>
      </c>
      <c r="J6" s="167">
        <v>11.491</v>
      </c>
      <c r="L6" s="171">
        <v>2105.8110000000001</v>
      </c>
      <c r="M6" s="171">
        <v>5110.8032970000004</v>
      </c>
      <c r="N6" s="27">
        <v>24.27</v>
      </c>
      <c r="O6" s="171">
        <v>59.363999999999997</v>
      </c>
      <c r="P6" s="171">
        <v>66.501999999999995</v>
      </c>
      <c r="Q6" s="175">
        <v>11.2</v>
      </c>
      <c r="R6" s="167">
        <f t="shared" si="0"/>
        <v>5690.1689999999999</v>
      </c>
      <c r="S6" s="167">
        <f t="shared" si="1"/>
        <v>13547.929045000001</v>
      </c>
      <c r="T6" s="167">
        <f t="shared" si="2"/>
        <v>2.3809361453060536</v>
      </c>
      <c r="U6" s="27">
        <v>1.7629644506929101</v>
      </c>
      <c r="V6" s="27">
        <v>2.773608015089533</v>
      </c>
    </row>
    <row r="7" spans="1:22" ht="20.100000000000001" customHeight="1" x14ac:dyDescent="0.25">
      <c r="A7" s="174">
        <f t="shared" si="3"/>
        <v>5</v>
      </c>
      <c r="B7" s="173" t="s">
        <v>117</v>
      </c>
      <c r="C7" s="167">
        <v>3830</v>
      </c>
      <c r="D7" s="167">
        <v>8048.4</v>
      </c>
      <c r="E7" s="27">
        <v>21.01</v>
      </c>
      <c r="F7" s="167">
        <v>19.5</v>
      </c>
      <c r="G7" s="167">
        <v>7.3</v>
      </c>
      <c r="I7" s="167">
        <v>99.8</v>
      </c>
      <c r="J7" s="167">
        <v>31.9</v>
      </c>
      <c r="L7" s="171">
        <v>114.7</v>
      </c>
      <c r="M7" s="171">
        <v>159.5</v>
      </c>
      <c r="N7" s="27">
        <v>13.91</v>
      </c>
      <c r="O7" s="171">
        <v>307.39999999999998</v>
      </c>
      <c r="P7" s="171">
        <v>359.9</v>
      </c>
      <c r="Q7" s="175">
        <v>11.71</v>
      </c>
      <c r="R7" s="167">
        <f t="shared" si="0"/>
        <v>4371.3999999999996</v>
      </c>
      <c r="S7" s="167">
        <f t="shared" si="1"/>
        <v>8606.9999999999982</v>
      </c>
      <c r="T7" s="167">
        <f t="shared" si="2"/>
        <v>1.9689344374799833</v>
      </c>
      <c r="U7" s="27">
        <v>1.8139336799130619</v>
      </c>
      <c r="V7" s="27">
        <v>2.1302698145025296</v>
      </c>
    </row>
    <row r="8" spans="1:22" ht="20.100000000000001" customHeight="1" x14ac:dyDescent="0.25">
      <c r="A8" s="174">
        <f t="shared" si="3"/>
        <v>6</v>
      </c>
      <c r="B8" s="173" t="s">
        <v>22</v>
      </c>
      <c r="C8" s="167">
        <v>40.823</v>
      </c>
      <c r="D8" s="167">
        <v>113.227</v>
      </c>
      <c r="E8" s="27">
        <v>0</v>
      </c>
      <c r="F8" s="167">
        <v>0</v>
      </c>
      <c r="G8" s="167">
        <v>0</v>
      </c>
      <c r="H8" s="172">
        <v>4.6900000000000004</v>
      </c>
      <c r="I8" s="167">
        <v>0</v>
      </c>
      <c r="J8" s="167">
        <v>0</v>
      </c>
      <c r="L8" s="171"/>
      <c r="M8" s="171"/>
      <c r="N8" s="27">
        <v>0</v>
      </c>
      <c r="O8" s="171"/>
      <c r="P8" s="171"/>
      <c r="Q8" s="175">
        <v>0</v>
      </c>
      <c r="R8" s="167">
        <f t="shared" si="0"/>
        <v>40.823</v>
      </c>
      <c r="S8" s="167">
        <f t="shared" si="1"/>
        <v>113.227</v>
      </c>
      <c r="T8" s="167">
        <f t="shared" si="2"/>
        <v>2.773608015089533</v>
      </c>
      <c r="U8" s="27">
        <v>1.6689999457376961</v>
      </c>
      <c r="V8" s="27">
        <v>0</v>
      </c>
    </row>
    <row r="9" spans="1:22" ht="20.100000000000001" customHeight="1" x14ac:dyDescent="0.25">
      <c r="A9" s="174">
        <f t="shared" si="3"/>
        <v>7</v>
      </c>
      <c r="B9" s="173" t="s">
        <v>24</v>
      </c>
      <c r="C9" s="167">
        <v>837</v>
      </c>
      <c r="D9" s="167">
        <v>1930</v>
      </c>
      <c r="E9" s="27">
        <v>23.06</v>
      </c>
      <c r="F9" s="167">
        <v>179</v>
      </c>
      <c r="G9" s="167">
        <v>84</v>
      </c>
      <c r="I9" s="167">
        <v>197</v>
      </c>
      <c r="J9" s="167">
        <v>119</v>
      </c>
      <c r="L9" s="171">
        <v>995</v>
      </c>
      <c r="M9" s="171">
        <v>2737</v>
      </c>
      <c r="N9" s="27">
        <v>27.51</v>
      </c>
      <c r="O9" s="171">
        <v>164</v>
      </c>
      <c r="P9" s="171">
        <v>183</v>
      </c>
      <c r="Q9" s="175">
        <v>11.16</v>
      </c>
      <c r="R9" s="167">
        <f t="shared" si="0"/>
        <v>2372</v>
      </c>
      <c r="S9" s="167">
        <f t="shared" si="1"/>
        <v>5053</v>
      </c>
      <c r="T9" s="167">
        <f t="shared" si="2"/>
        <v>2.1302698145025296</v>
      </c>
      <c r="U9" s="27">
        <v>1.6253733220157818</v>
      </c>
      <c r="V9" s="27">
        <v>4.0052658884565497</v>
      </c>
    </row>
    <row r="10" spans="1:22" ht="20.100000000000001" customHeight="1" x14ac:dyDescent="0.25">
      <c r="A10" s="174">
        <f t="shared" si="3"/>
        <v>8</v>
      </c>
      <c r="B10" s="173" t="s">
        <v>26</v>
      </c>
      <c r="C10" s="167">
        <v>1386</v>
      </c>
      <c r="D10" s="167">
        <v>4453</v>
      </c>
      <c r="E10" s="27">
        <v>32.130000000000003</v>
      </c>
      <c r="F10" s="167">
        <v>27.2</v>
      </c>
      <c r="G10" s="167">
        <v>13.7</v>
      </c>
      <c r="I10" s="167">
        <v>1</v>
      </c>
      <c r="J10" s="167">
        <v>0.4</v>
      </c>
      <c r="L10" s="171">
        <v>2558</v>
      </c>
      <c r="M10" s="171">
        <v>11546.812</v>
      </c>
      <c r="N10" s="27">
        <v>45.14</v>
      </c>
      <c r="O10" s="171">
        <v>37</v>
      </c>
      <c r="P10" s="171">
        <v>44</v>
      </c>
      <c r="Q10" s="175">
        <v>11.89</v>
      </c>
      <c r="R10" s="167">
        <f t="shared" si="0"/>
        <v>4009.2</v>
      </c>
      <c r="S10" s="167">
        <f t="shared" si="1"/>
        <v>16057.912</v>
      </c>
      <c r="T10" s="167">
        <f t="shared" si="2"/>
        <v>4.0052658884565497</v>
      </c>
      <c r="U10" s="27">
        <v>1.6379682997118155</v>
      </c>
      <c r="V10" s="27">
        <v>1.9922374110754639</v>
      </c>
    </row>
    <row r="11" spans="1:22" ht="20.100000000000001" customHeight="1" x14ac:dyDescent="0.25">
      <c r="A11" s="174">
        <f t="shared" si="3"/>
        <v>9</v>
      </c>
      <c r="B11" s="173" t="s">
        <v>28</v>
      </c>
      <c r="C11" s="167">
        <v>74.474999999999994</v>
      </c>
      <c r="D11" s="167">
        <v>146.59</v>
      </c>
      <c r="E11" s="27">
        <v>19.68</v>
      </c>
      <c r="F11" s="167">
        <v>0.28599999999999998</v>
      </c>
      <c r="G11" s="167">
        <v>0.14000000000000001</v>
      </c>
      <c r="I11" s="167">
        <v>8.5630000000000006</v>
      </c>
      <c r="J11" s="167">
        <v>5.609</v>
      </c>
      <c r="L11" s="171">
        <v>346.38799999999998</v>
      </c>
      <c r="M11" s="171">
        <v>704.20699999999999</v>
      </c>
      <c r="N11" s="27">
        <v>20.329999999999998</v>
      </c>
      <c r="O11" s="171">
        <v>0.42799999999999999</v>
      </c>
      <c r="P11" s="171">
        <v>0.39500000000000002</v>
      </c>
      <c r="Q11" s="175">
        <v>9.23</v>
      </c>
      <c r="R11" s="167">
        <f t="shared" si="0"/>
        <v>430.14</v>
      </c>
      <c r="S11" s="167">
        <f t="shared" si="1"/>
        <v>856.94100000000003</v>
      </c>
      <c r="T11" s="167">
        <f t="shared" si="2"/>
        <v>1.9922374110754639</v>
      </c>
      <c r="U11" s="27">
        <v>2.9006544392326497</v>
      </c>
      <c r="V11" s="27">
        <v>1.8243559388506949</v>
      </c>
    </row>
    <row r="12" spans="1:22" ht="20.100000000000001" customHeight="1" x14ac:dyDescent="0.25">
      <c r="A12" s="174">
        <f t="shared" si="3"/>
        <v>10</v>
      </c>
      <c r="B12" s="173" t="s">
        <v>30</v>
      </c>
      <c r="C12" s="167">
        <v>283.44299999999998</v>
      </c>
      <c r="D12" s="167">
        <v>572.21266666666668</v>
      </c>
      <c r="E12" s="27">
        <v>20.190000000000001</v>
      </c>
      <c r="F12" s="167">
        <v>0.80600000000000005</v>
      </c>
      <c r="G12" s="167">
        <v>0.45800000000000002</v>
      </c>
      <c r="H12" s="172">
        <v>5.68</v>
      </c>
      <c r="I12" s="167">
        <v>0</v>
      </c>
      <c r="J12" s="167">
        <v>0</v>
      </c>
      <c r="L12" s="171">
        <v>290.30099999999999</v>
      </c>
      <c r="M12" s="171">
        <v>475.51303799999999</v>
      </c>
      <c r="N12" s="27">
        <v>16.38</v>
      </c>
      <c r="O12" s="171"/>
      <c r="P12" s="171"/>
      <c r="R12" s="167">
        <f t="shared" si="0"/>
        <v>574.54999999999995</v>
      </c>
      <c r="S12" s="167">
        <f t="shared" si="1"/>
        <v>1048.1837046666667</v>
      </c>
      <c r="T12" s="167">
        <f t="shared" si="2"/>
        <v>1.8243559388506949</v>
      </c>
      <c r="V12" s="27">
        <v>2.0173944333615363</v>
      </c>
    </row>
    <row r="13" spans="1:22" ht="20.100000000000001" customHeight="1" x14ac:dyDescent="0.25">
      <c r="A13" s="174">
        <f t="shared" si="3"/>
        <v>11</v>
      </c>
      <c r="B13" s="173" t="s">
        <v>118</v>
      </c>
      <c r="C13" s="167">
        <v>1714.328</v>
      </c>
      <c r="D13" s="167">
        <v>3841.8076000000001</v>
      </c>
      <c r="E13" s="27">
        <v>22.41</v>
      </c>
      <c r="F13" s="167">
        <v>30.423999999999999</v>
      </c>
      <c r="G13" s="167">
        <v>24.239000000000001</v>
      </c>
      <c r="I13" s="167">
        <v>151.92099999999999</v>
      </c>
      <c r="J13" s="167">
        <v>139.40600000000001</v>
      </c>
      <c r="L13" s="171">
        <v>211.471</v>
      </c>
      <c r="M13" s="171">
        <v>425.24400000000003</v>
      </c>
      <c r="N13" s="27">
        <v>20.11</v>
      </c>
      <c r="O13" s="171">
        <v>210.74199999999999</v>
      </c>
      <c r="P13" s="171">
        <v>247.41110799999998</v>
      </c>
      <c r="Q13" s="175">
        <v>5.9</v>
      </c>
      <c r="R13" s="167">
        <f t="shared" si="0"/>
        <v>2318.8860000000004</v>
      </c>
      <c r="S13" s="167">
        <f t="shared" si="1"/>
        <v>4678.1077080000005</v>
      </c>
      <c r="T13" s="167">
        <f t="shared" si="2"/>
        <v>2.0173944333615363</v>
      </c>
      <c r="V13" s="27">
        <v>1.2999403546282302</v>
      </c>
    </row>
    <row r="14" spans="1:22" ht="20.100000000000001" customHeight="1" x14ac:dyDescent="0.25">
      <c r="A14" s="174">
        <f t="shared" si="3"/>
        <v>12</v>
      </c>
      <c r="B14" s="173" t="s">
        <v>34</v>
      </c>
      <c r="C14" s="167">
        <v>1034</v>
      </c>
      <c r="D14" s="167">
        <v>2604.8481999999999</v>
      </c>
      <c r="E14" s="27">
        <v>25.19</v>
      </c>
      <c r="F14" s="167">
        <v>419.7</v>
      </c>
      <c r="G14" s="167">
        <v>115.5</v>
      </c>
      <c r="H14" s="172">
        <v>2.75</v>
      </c>
      <c r="I14" s="167">
        <v>88</v>
      </c>
      <c r="J14" s="167">
        <v>43</v>
      </c>
      <c r="K14" s="172">
        <v>4.8899999999999997</v>
      </c>
      <c r="L14" s="171">
        <v>168</v>
      </c>
      <c r="M14" s="171">
        <v>171</v>
      </c>
      <c r="N14" s="172">
        <v>10.18</v>
      </c>
      <c r="O14" s="171">
        <v>1003</v>
      </c>
      <c r="P14" s="171">
        <v>592</v>
      </c>
      <c r="R14" s="167">
        <f t="shared" si="0"/>
        <v>2712.7</v>
      </c>
      <c r="S14" s="167">
        <f t="shared" si="1"/>
        <v>3526.3481999999999</v>
      </c>
      <c r="T14" s="167">
        <f t="shared" si="2"/>
        <v>1.2999403546282302</v>
      </c>
      <c r="V14" s="27">
        <v>2.5355674663058747</v>
      </c>
    </row>
    <row r="15" spans="1:22" ht="20.100000000000001" customHeight="1" x14ac:dyDescent="0.25">
      <c r="A15" s="174">
        <f t="shared" si="3"/>
        <v>13</v>
      </c>
      <c r="B15" s="173" t="s">
        <v>36</v>
      </c>
      <c r="C15" s="167">
        <v>171.39</v>
      </c>
      <c r="D15" s="167">
        <v>437.09999999999997</v>
      </c>
      <c r="F15" s="167">
        <v>0</v>
      </c>
      <c r="G15" s="167">
        <v>0</v>
      </c>
      <c r="I15" s="167">
        <v>0</v>
      </c>
      <c r="J15" s="167">
        <v>0</v>
      </c>
      <c r="L15" s="171">
        <v>1E-3</v>
      </c>
      <c r="M15" s="171">
        <v>1E-3</v>
      </c>
      <c r="O15" s="171">
        <v>1.5620000000000001</v>
      </c>
      <c r="P15" s="171">
        <v>1.4330000000000001</v>
      </c>
      <c r="Q15" s="175">
        <v>11</v>
      </c>
      <c r="R15" s="167">
        <f t="shared" si="0"/>
        <v>172.953</v>
      </c>
      <c r="S15" s="167">
        <f t="shared" si="1"/>
        <v>438.53399999999993</v>
      </c>
      <c r="T15" s="167">
        <f t="shared" si="2"/>
        <v>2.5355674663058747</v>
      </c>
      <c r="V15" s="27">
        <v>2.0275939022853833</v>
      </c>
    </row>
    <row r="16" spans="1:22" ht="20.100000000000001" customHeight="1" x14ac:dyDescent="0.25">
      <c r="A16" s="174">
        <f t="shared" si="3"/>
        <v>14</v>
      </c>
      <c r="B16" s="173" t="s">
        <v>38</v>
      </c>
      <c r="C16" s="167">
        <v>2289</v>
      </c>
      <c r="D16" s="167">
        <v>4226.8293333333331</v>
      </c>
      <c r="E16" s="27">
        <v>25.5</v>
      </c>
      <c r="F16" s="167">
        <v>487</v>
      </c>
      <c r="G16" s="167">
        <v>295.80240000000003</v>
      </c>
      <c r="I16" s="167">
        <v>1203</v>
      </c>
      <c r="J16" s="167">
        <v>816.88</v>
      </c>
      <c r="K16" s="172">
        <v>6.79</v>
      </c>
      <c r="L16" s="171">
        <v>6028</v>
      </c>
      <c r="M16" s="171">
        <v>17939.328000000001</v>
      </c>
      <c r="N16" s="172">
        <v>29.76</v>
      </c>
      <c r="O16" s="171">
        <v>3222</v>
      </c>
      <c r="P16" s="171">
        <v>3544.2</v>
      </c>
      <c r="Q16" s="175">
        <v>8.91</v>
      </c>
      <c r="R16" s="167">
        <f t="shared" si="0"/>
        <v>13229</v>
      </c>
      <c r="S16" s="167">
        <f t="shared" si="1"/>
        <v>26823.039733333335</v>
      </c>
      <c r="T16" s="167">
        <f t="shared" si="2"/>
        <v>2.0275939022853833</v>
      </c>
      <c r="V16" s="27">
        <v>1.2948965192339053</v>
      </c>
    </row>
    <row r="17" spans="1:22" ht="20.100000000000001" customHeight="1" x14ac:dyDescent="0.25">
      <c r="A17" s="174">
        <f t="shared" si="3"/>
        <v>15</v>
      </c>
      <c r="B17" s="173" t="s">
        <v>40</v>
      </c>
      <c r="C17" s="167">
        <v>1535.3</v>
      </c>
      <c r="D17" s="167">
        <v>3109.5227</v>
      </c>
      <c r="E17" s="27">
        <v>18.47</v>
      </c>
      <c r="F17" s="167">
        <v>444.3</v>
      </c>
      <c r="G17" s="167">
        <v>259.7</v>
      </c>
      <c r="H17" s="172">
        <v>5.85</v>
      </c>
      <c r="I17" s="167">
        <v>337.9</v>
      </c>
      <c r="J17" s="167">
        <v>183.1</v>
      </c>
      <c r="K17" s="172">
        <v>5.42</v>
      </c>
      <c r="L17" s="171">
        <v>1272.0999999999999</v>
      </c>
      <c r="M17" s="171">
        <v>1875.0753999999999</v>
      </c>
      <c r="N17" s="172">
        <v>14.74</v>
      </c>
      <c r="O17" s="171">
        <v>1929.3</v>
      </c>
      <c r="P17" s="171">
        <v>1719.0063</v>
      </c>
      <c r="R17" s="167">
        <f t="shared" si="0"/>
        <v>5518.9</v>
      </c>
      <c r="S17" s="167">
        <f t="shared" si="1"/>
        <v>7146.4043999999994</v>
      </c>
      <c r="T17" s="167">
        <f t="shared" si="2"/>
        <v>1.2948965192339053</v>
      </c>
      <c r="V17" s="27">
        <v>1.9722591089751438</v>
      </c>
    </row>
    <row r="18" spans="1:22" ht="20.100000000000001" customHeight="1" x14ac:dyDescent="0.25">
      <c r="A18" s="174">
        <f t="shared" si="3"/>
        <v>16</v>
      </c>
      <c r="B18" s="173" t="s">
        <v>124</v>
      </c>
      <c r="C18" s="167">
        <v>244</v>
      </c>
      <c r="D18" s="167">
        <v>430.4</v>
      </c>
      <c r="E18" s="27">
        <v>20.25</v>
      </c>
      <c r="F18" s="167">
        <v>0.46</v>
      </c>
      <c r="G18" s="167">
        <v>0.5</v>
      </c>
      <c r="I18" s="167">
        <v>1.46</v>
      </c>
      <c r="J18" s="167">
        <v>1.63</v>
      </c>
      <c r="L18" s="171">
        <v>2.25</v>
      </c>
      <c r="M18" s="171">
        <v>5.62</v>
      </c>
      <c r="O18" s="171">
        <v>0.78</v>
      </c>
      <c r="P18" s="171">
        <v>0.74</v>
      </c>
      <c r="R18" s="167">
        <f t="shared" si="0"/>
        <v>248.95000000000002</v>
      </c>
      <c r="S18" s="167">
        <f t="shared" si="1"/>
        <v>438.89</v>
      </c>
      <c r="T18" s="167">
        <f t="shared" si="2"/>
        <v>1.7629644506929101</v>
      </c>
      <c r="V18" s="27">
        <v>4.3687111997134265</v>
      </c>
    </row>
    <row r="19" spans="1:22" ht="20.100000000000001" customHeight="1" x14ac:dyDescent="0.25">
      <c r="A19" s="174">
        <f t="shared" si="3"/>
        <v>17</v>
      </c>
      <c r="B19" s="173" t="s">
        <v>125</v>
      </c>
      <c r="C19" s="167">
        <v>111.17999999999999</v>
      </c>
      <c r="D19" s="167">
        <v>203.01333333333335</v>
      </c>
      <c r="E19" s="27">
        <v>0</v>
      </c>
      <c r="F19" s="167">
        <v>0</v>
      </c>
      <c r="G19" s="167">
        <v>0</v>
      </c>
      <c r="I19" s="167">
        <v>0</v>
      </c>
      <c r="J19" s="167">
        <v>0</v>
      </c>
      <c r="L19" s="171">
        <v>0.46</v>
      </c>
      <c r="M19" s="171">
        <v>0.88</v>
      </c>
      <c r="O19" s="171">
        <v>1.85</v>
      </c>
      <c r="P19" s="171">
        <v>1.97</v>
      </c>
      <c r="R19" s="167">
        <f t="shared" si="0"/>
        <v>113.48999999999998</v>
      </c>
      <c r="S19" s="167">
        <f t="shared" si="1"/>
        <v>205.86333333333334</v>
      </c>
      <c r="T19" s="167">
        <f t="shared" si="2"/>
        <v>1.8139336799130619</v>
      </c>
      <c r="V19" s="27">
        <v>1.7884100661605364</v>
      </c>
    </row>
    <row r="20" spans="1:22" ht="20.100000000000001" customHeight="1" x14ac:dyDescent="0.25">
      <c r="A20" s="174">
        <f t="shared" si="3"/>
        <v>18</v>
      </c>
      <c r="B20" s="173" t="s">
        <v>126</v>
      </c>
      <c r="C20" s="167">
        <v>36.857999999999997</v>
      </c>
      <c r="D20" s="167">
        <v>61.515999999999998</v>
      </c>
      <c r="E20" s="27">
        <v>0</v>
      </c>
      <c r="F20" s="167">
        <v>0</v>
      </c>
      <c r="G20" s="167">
        <v>0</v>
      </c>
      <c r="I20" s="167">
        <v>0</v>
      </c>
      <c r="J20" s="167">
        <v>0</v>
      </c>
      <c r="L20" s="171"/>
      <c r="M20" s="171"/>
      <c r="O20" s="171"/>
      <c r="P20" s="171"/>
      <c r="R20" s="167">
        <f t="shared" si="0"/>
        <v>36.857999999999997</v>
      </c>
      <c r="S20" s="167">
        <f t="shared" si="1"/>
        <v>61.515999999999998</v>
      </c>
      <c r="T20" s="167">
        <f t="shared" si="2"/>
        <v>1.6689999457376961</v>
      </c>
      <c r="V20" s="27">
        <v>1.3224547281792338</v>
      </c>
    </row>
    <row r="21" spans="1:22" ht="20.100000000000001" customHeight="1" x14ac:dyDescent="0.25">
      <c r="A21" s="174">
        <f t="shared" si="3"/>
        <v>19</v>
      </c>
      <c r="B21" s="173" t="s">
        <v>48</v>
      </c>
      <c r="C21" s="167">
        <v>206.66000000000003</v>
      </c>
      <c r="D21" s="167">
        <v>336.70666666666671</v>
      </c>
      <c r="E21" s="27">
        <v>0</v>
      </c>
      <c r="F21" s="167">
        <v>0</v>
      </c>
      <c r="G21" s="167">
        <v>0</v>
      </c>
      <c r="I21" s="167">
        <v>1.27</v>
      </c>
      <c r="J21" s="167">
        <v>1.1300000000000001</v>
      </c>
      <c r="L21" s="171">
        <v>3.38</v>
      </c>
      <c r="M21" s="171">
        <v>6.22</v>
      </c>
      <c r="O21" s="171">
        <v>0.75</v>
      </c>
      <c r="P21" s="171">
        <v>0.62</v>
      </c>
      <c r="R21" s="167">
        <f t="shared" si="0"/>
        <v>212.06000000000003</v>
      </c>
      <c r="S21" s="167">
        <f t="shared" si="1"/>
        <v>344.67666666666673</v>
      </c>
      <c r="T21" s="167">
        <f t="shared" si="2"/>
        <v>1.6253733220157818</v>
      </c>
      <c r="V21" s="27">
        <v>2.7413073516609048</v>
      </c>
    </row>
    <row r="22" spans="1:22" ht="20.100000000000001" customHeight="1" x14ac:dyDescent="0.25">
      <c r="A22" s="174">
        <f t="shared" si="3"/>
        <v>20</v>
      </c>
      <c r="B22" s="173" t="s">
        <v>119</v>
      </c>
      <c r="C22" s="167">
        <v>3854.78</v>
      </c>
      <c r="D22" s="167">
        <v>8325.94</v>
      </c>
      <c r="E22" s="27">
        <v>21.6</v>
      </c>
      <c r="F22" s="167">
        <v>326.17</v>
      </c>
      <c r="G22" s="167">
        <v>133.62</v>
      </c>
      <c r="H22" s="172">
        <v>4.0999999999999996</v>
      </c>
      <c r="I22" s="167">
        <v>108.74</v>
      </c>
      <c r="J22" s="167">
        <v>49.41</v>
      </c>
      <c r="K22" s="172">
        <v>4.54</v>
      </c>
      <c r="L22" s="171">
        <v>0.06</v>
      </c>
      <c r="M22" s="171">
        <v>0.08</v>
      </c>
      <c r="O22" s="171">
        <v>40.32</v>
      </c>
      <c r="P22" s="171">
        <v>30.97</v>
      </c>
      <c r="R22" s="167">
        <f t="shared" si="0"/>
        <v>4330.07</v>
      </c>
      <c r="S22" s="167">
        <f t="shared" si="1"/>
        <v>8540.02</v>
      </c>
      <c r="T22" s="167">
        <f t="shared" si="2"/>
        <v>1.9722591089751438</v>
      </c>
      <c r="V22" s="27">
        <v>2.6462704632634995</v>
      </c>
    </row>
    <row r="23" spans="1:22" ht="20.100000000000001" customHeight="1" x14ac:dyDescent="0.25">
      <c r="A23" s="174">
        <f t="shared" si="3"/>
        <v>21</v>
      </c>
      <c r="B23" s="173" t="s">
        <v>120</v>
      </c>
      <c r="C23" s="167">
        <v>2898</v>
      </c>
      <c r="D23" s="167">
        <v>11586.204</v>
      </c>
      <c r="E23" s="27">
        <v>0</v>
      </c>
      <c r="F23" s="167">
        <v>24</v>
      </c>
      <c r="G23" s="167">
        <v>20.2</v>
      </c>
      <c r="I23" s="167">
        <v>2.1</v>
      </c>
      <c r="J23" s="167">
        <v>1.1000000000000001</v>
      </c>
      <c r="L23" s="171">
        <v>3495</v>
      </c>
      <c r="M23" s="171">
        <v>16440.48</v>
      </c>
      <c r="N23" s="27">
        <v>47.04</v>
      </c>
      <c r="O23" s="171">
        <v>1.6</v>
      </c>
      <c r="P23" s="171">
        <v>2.2000000000000002</v>
      </c>
      <c r="Q23" s="175">
        <v>13.75</v>
      </c>
      <c r="R23" s="167">
        <f t="shared" si="0"/>
        <v>6420.7000000000007</v>
      </c>
      <c r="S23" s="167">
        <f t="shared" si="1"/>
        <v>28050.184000000001</v>
      </c>
      <c r="T23" s="167">
        <f t="shared" si="2"/>
        <v>4.3687111997134265</v>
      </c>
      <c r="V23" s="27">
        <v>2.4676375404530746</v>
      </c>
    </row>
    <row r="24" spans="1:22" ht="20.100000000000001" customHeight="1" x14ac:dyDescent="0.25">
      <c r="A24" s="174">
        <f t="shared" si="3"/>
        <v>22</v>
      </c>
      <c r="B24" s="173" t="s">
        <v>54</v>
      </c>
      <c r="C24" s="167">
        <v>197.75399999999999</v>
      </c>
      <c r="D24" s="167">
        <v>452.68200000000002</v>
      </c>
      <c r="E24" s="27">
        <v>0</v>
      </c>
      <c r="F24" s="167">
        <v>1636.8</v>
      </c>
      <c r="G24" s="167">
        <v>810.21600000000001</v>
      </c>
      <c r="H24" s="172">
        <v>4.95</v>
      </c>
      <c r="I24" s="167">
        <v>476.72199999999998</v>
      </c>
      <c r="J24" s="167">
        <v>305.46899999999999</v>
      </c>
      <c r="K24" s="172">
        <v>6.41</v>
      </c>
      <c r="L24" s="171">
        <v>2830</v>
      </c>
      <c r="M24" s="171">
        <v>8985.25</v>
      </c>
      <c r="N24" s="172">
        <v>31.75</v>
      </c>
      <c r="O24" s="171">
        <v>1547.9079999999999</v>
      </c>
      <c r="P24" s="171">
        <v>1409.3869999999999</v>
      </c>
      <c r="Q24" s="175">
        <v>9.11</v>
      </c>
      <c r="R24" s="167">
        <f t="shared" si="0"/>
        <v>6689.1839999999993</v>
      </c>
      <c r="S24" s="167">
        <f t="shared" si="1"/>
        <v>11963.004000000001</v>
      </c>
      <c r="T24" s="167">
        <f t="shared" si="2"/>
        <v>1.7884100661605364</v>
      </c>
      <c r="V24" s="27">
        <v>2.7418833816722654</v>
      </c>
    </row>
    <row r="25" spans="1:22" ht="20.100000000000001" customHeight="1" x14ac:dyDescent="0.25">
      <c r="A25" s="174">
        <f t="shared" si="3"/>
        <v>23</v>
      </c>
      <c r="B25" s="173" t="s">
        <v>127</v>
      </c>
      <c r="C25" s="167">
        <v>10.65</v>
      </c>
      <c r="D25" s="167">
        <v>19.670000000000002</v>
      </c>
      <c r="E25" s="27">
        <v>0</v>
      </c>
      <c r="F25" s="167">
        <v>0</v>
      </c>
      <c r="G25" s="167">
        <v>0</v>
      </c>
      <c r="I25" s="167">
        <v>2.91</v>
      </c>
      <c r="J25" s="167">
        <v>2.72</v>
      </c>
      <c r="L25" s="171">
        <v>0.32</v>
      </c>
      <c r="M25" s="171">
        <v>0.34499999999999997</v>
      </c>
      <c r="O25" s="171"/>
      <c r="P25" s="171"/>
      <c r="Q25" s="27">
        <v>0</v>
      </c>
      <c r="R25" s="167">
        <f t="shared" si="0"/>
        <v>13.88</v>
      </c>
      <c r="S25" s="167">
        <f t="shared" si="1"/>
        <v>22.734999999999999</v>
      </c>
      <c r="T25" s="167">
        <f t="shared" si="2"/>
        <v>1.6379682997118155</v>
      </c>
    </row>
    <row r="26" spans="1:22" ht="20.100000000000001" customHeight="1" x14ac:dyDescent="0.25">
      <c r="A26" s="174">
        <f t="shared" si="3"/>
        <v>24</v>
      </c>
      <c r="B26" s="173" t="s">
        <v>58</v>
      </c>
      <c r="C26" s="167">
        <v>1442.83</v>
      </c>
      <c r="D26" s="167">
        <v>2369.4</v>
      </c>
      <c r="E26" s="27">
        <v>16.420000000000002</v>
      </c>
      <c r="F26" s="167">
        <v>165.97</v>
      </c>
      <c r="G26" s="167">
        <v>56.099999999999994</v>
      </c>
      <c r="H26" s="172">
        <v>3.38</v>
      </c>
      <c r="I26" s="167">
        <v>429.78</v>
      </c>
      <c r="J26" s="167">
        <v>273.95619799999997</v>
      </c>
      <c r="K26" s="172">
        <v>6.37</v>
      </c>
      <c r="L26" s="171"/>
      <c r="M26" s="171"/>
      <c r="O26" s="171">
        <v>5.23</v>
      </c>
      <c r="P26" s="171">
        <v>3.39</v>
      </c>
      <c r="Q26" s="27">
        <v>6.48</v>
      </c>
      <c r="R26" s="167">
        <f t="shared" si="0"/>
        <v>2043.81</v>
      </c>
      <c r="S26" s="167">
        <f t="shared" si="1"/>
        <v>2702.8461979999997</v>
      </c>
      <c r="T26" s="167">
        <f t="shared" si="2"/>
        <v>1.3224547281792338</v>
      </c>
    </row>
    <row r="27" spans="1:22" ht="20.100000000000001" customHeight="1" x14ac:dyDescent="0.25">
      <c r="A27" s="174">
        <v>25</v>
      </c>
      <c r="B27" s="173" t="s">
        <v>60</v>
      </c>
      <c r="C27" s="167">
        <v>1682.17</v>
      </c>
      <c r="D27" s="167">
        <v>5173.44373</v>
      </c>
      <c r="E27" s="27">
        <v>30.75</v>
      </c>
      <c r="F27" s="167">
        <v>146</v>
      </c>
      <c r="G27" s="167">
        <v>92</v>
      </c>
      <c r="I27" s="167">
        <v>52</v>
      </c>
      <c r="J27" s="167">
        <v>43</v>
      </c>
      <c r="L27" s="171">
        <v>5</v>
      </c>
      <c r="M27" s="171">
        <v>7</v>
      </c>
      <c r="O27" s="171">
        <v>102</v>
      </c>
      <c r="P27" s="171">
        <v>132</v>
      </c>
      <c r="R27" s="167">
        <f t="shared" si="0"/>
        <v>1987.17</v>
      </c>
      <c r="S27" s="167">
        <f t="shared" si="1"/>
        <v>5447.44373</v>
      </c>
      <c r="T27" s="167">
        <f t="shared" si="2"/>
        <v>2.7413073516609048</v>
      </c>
    </row>
    <row r="28" spans="1:22" ht="20.100000000000001" customHeight="1" x14ac:dyDescent="0.25">
      <c r="A28" s="174">
        <v>26</v>
      </c>
      <c r="B28" s="173" t="s">
        <v>128</v>
      </c>
      <c r="C28" s="167">
        <v>277.10599999999999</v>
      </c>
      <c r="D28" s="167">
        <v>814.64400000000001</v>
      </c>
      <c r="E28" s="27">
        <v>0</v>
      </c>
      <c r="F28" s="167">
        <v>3.4279999999999999</v>
      </c>
      <c r="G28" s="167">
        <v>1.968</v>
      </c>
      <c r="I28" s="167">
        <v>3.84</v>
      </c>
      <c r="J28" s="167">
        <v>8.9090000000000007</v>
      </c>
      <c r="L28" s="171">
        <v>0.2</v>
      </c>
      <c r="M28" s="171">
        <v>0.46</v>
      </c>
      <c r="O28" s="171">
        <v>0.25</v>
      </c>
      <c r="P28" s="171">
        <v>0.19500000000000001</v>
      </c>
      <c r="R28" s="167">
        <f t="shared" si="0"/>
        <v>284.82399999999996</v>
      </c>
      <c r="S28" s="167">
        <f t="shared" si="1"/>
        <v>826.17600000000004</v>
      </c>
      <c r="T28" s="167">
        <f t="shared" si="2"/>
        <v>2.9006544392326497</v>
      </c>
    </row>
    <row r="29" spans="1:22" ht="20.100000000000001" customHeight="1" x14ac:dyDescent="0.25">
      <c r="A29" s="174">
        <v>27</v>
      </c>
      <c r="B29" s="173" t="s">
        <v>121</v>
      </c>
      <c r="C29" s="167">
        <v>5992</v>
      </c>
      <c r="D29" s="167">
        <v>13754.038</v>
      </c>
      <c r="E29" s="27">
        <v>22.95</v>
      </c>
      <c r="F29" s="167">
        <v>92</v>
      </c>
      <c r="G29" s="167">
        <v>52</v>
      </c>
      <c r="I29" s="167">
        <v>644</v>
      </c>
      <c r="J29" s="167">
        <v>353</v>
      </c>
      <c r="L29" s="171">
        <v>9655</v>
      </c>
      <c r="M29" s="171">
        <v>30056.014999999999</v>
      </c>
      <c r="N29" s="27">
        <v>31.13</v>
      </c>
      <c r="O29" s="171">
        <v>562</v>
      </c>
      <c r="P29" s="171">
        <v>626</v>
      </c>
      <c r="Q29" s="175">
        <v>11.14</v>
      </c>
      <c r="R29" s="167">
        <f t="shared" si="0"/>
        <v>16945</v>
      </c>
      <c r="S29" s="167">
        <f t="shared" si="1"/>
        <v>44841.053</v>
      </c>
      <c r="T29" s="167">
        <f t="shared" si="2"/>
        <v>2.6462704632634995</v>
      </c>
    </row>
    <row r="30" spans="1:22" ht="20.100000000000001" customHeight="1" x14ac:dyDescent="0.25">
      <c r="A30" s="174">
        <f>A29+1</f>
        <v>28</v>
      </c>
      <c r="B30" s="173" t="s">
        <v>122</v>
      </c>
      <c r="C30" s="167">
        <v>261</v>
      </c>
      <c r="D30" s="167">
        <v>630</v>
      </c>
      <c r="E30" s="27">
        <v>24.14</v>
      </c>
      <c r="F30" s="167">
        <v>0</v>
      </c>
      <c r="G30" s="167">
        <v>0</v>
      </c>
      <c r="I30" s="167">
        <v>15</v>
      </c>
      <c r="J30" s="167">
        <v>12</v>
      </c>
      <c r="L30" s="171">
        <v>341</v>
      </c>
      <c r="M30" s="171">
        <v>882</v>
      </c>
      <c r="N30" s="27">
        <v>25.87</v>
      </c>
      <c r="O30" s="171">
        <v>1</v>
      </c>
      <c r="P30" s="171">
        <v>1</v>
      </c>
      <c r="Q30" s="175">
        <v>10</v>
      </c>
      <c r="R30" s="167">
        <f t="shared" si="0"/>
        <v>618</v>
      </c>
      <c r="S30" s="167">
        <f t="shared" si="1"/>
        <v>1525</v>
      </c>
      <c r="T30" s="167">
        <f t="shared" si="2"/>
        <v>2.4676375404530746</v>
      </c>
    </row>
    <row r="31" spans="1:22" ht="20.100000000000001" customHeight="1" x14ac:dyDescent="0.25">
      <c r="A31" s="174">
        <f>A30+1</f>
        <v>29</v>
      </c>
      <c r="B31" s="173" t="s">
        <v>68</v>
      </c>
      <c r="C31" s="167">
        <v>5496.473</v>
      </c>
      <c r="D31" s="167">
        <v>15302.45972225</v>
      </c>
      <c r="E31" s="27">
        <v>27.84</v>
      </c>
      <c r="F31" s="167">
        <v>3.9979999999999998</v>
      </c>
      <c r="G31" s="167">
        <v>3.0250000000000004</v>
      </c>
      <c r="H31" s="172">
        <v>7.57</v>
      </c>
      <c r="I31" s="167">
        <v>77.72</v>
      </c>
      <c r="J31" s="167">
        <v>57.009</v>
      </c>
      <c r="L31" s="171">
        <v>321.62099999999998</v>
      </c>
      <c r="M31" s="171">
        <v>862.71199999999999</v>
      </c>
      <c r="N31" s="27">
        <v>26.82</v>
      </c>
      <c r="O31" s="171">
        <v>28.122</v>
      </c>
      <c r="P31" s="171">
        <v>28.498000000000001</v>
      </c>
      <c r="Q31" s="166">
        <v>10.130000000000001</v>
      </c>
      <c r="R31" s="167">
        <f t="shared" si="0"/>
        <v>5927.9340000000002</v>
      </c>
      <c r="S31" s="167">
        <f t="shared" si="1"/>
        <v>16253.703722249998</v>
      </c>
      <c r="T31" s="167">
        <f t="shared" si="2"/>
        <v>2.7418833816722654</v>
      </c>
    </row>
    <row r="32" spans="1:22" s="166" customFormat="1" ht="20.100000000000001" customHeight="1" x14ac:dyDescent="0.25">
      <c r="A32" s="170"/>
      <c r="B32" s="169" t="s">
        <v>265</v>
      </c>
      <c r="C32" s="168">
        <f>SUM(C3:C31)</f>
        <v>43950.132999999994</v>
      </c>
      <c r="D32" s="168">
        <f>SUM(D3:D31)</f>
        <v>109582.71870025</v>
      </c>
      <c r="F32" s="168">
        <f>SUM(F5:F31)</f>
        <v>4189.9779999999992</v>
      </c>
      <c r="G32" s="168">
        <f>SUM(G5:G31)</f>
        <v>2097.7674000000002</v>
      </c>
      <c r="I32" s="168">
        <f>SUM(I3:I31)</f>
        <v>4475.6549999999997</v>
      </c>
      <c r="J32" s="168">
        <f>SUM(J3:J31)</f>
        <v>2830.2121979999997</v>
      </c>
      <c r="L32" s="168">
        <f>SUM(L3:L31)</f>
        <v>30765.424999999999</v>
      </c>
      <c r="M32" s="168">
        <f>SUM(M3:M31)</f>
        <v>98422.699735000002</v>
      </c>
      <c r="O32" s="168">
        <f>SUM(O3:O31)</f>
        <v>9626.0349999999999</v>
      </c>
      <c r="P32" s="168">
        <f>SUM(P3:P31)</f>
        <v>9377.3994079999993</v>
      </c>
      <c r="R32" s="168">
        <f>SUM(R3:R31)</f>
        <v>93142.512999999977</v>
      </c>
      <c r="S32" s="168">
        <f>SUM(S3:S31)</f>
        <v>222378.07444125001</v>
      </c>
      <c r="T32" s="167">
        <f t="shared" si="2"/>
        <v>2.3875034855592747</v>
      </c>
    </row>
  </sheetData>
  <mergeCells count="9">
    <mergeCell ref="L1:N1"/>
    <mergeCell ref="O1:Q1"/>
    <mergeCell ref="R1:R2"/>
    <mergeCell ref="S1:S2"/>
    <mergeCell ref="A1:A2"/>
    <mergeCell ref="B1:B2"/>
    <mergeCell ref="C1:E1"/>
    <mergeCell ref="F1:H1"/>
    <mergeCell ref="I1:K1"/>
  </mergeCells>
  <pageMargins left="0.51181102362204722" right="0.51181102362204722" top="0.74803149606299213" bottom="0.74803149606299213" header="0.31496062992125984" footer="0.31496062992125984"/>
  <pageSetup scale="5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B4" zoomScaleNormal="100" workbookViewId="0">
      <selection activeCell="J17" sqref="J17"/>
    </sheetView>
  </sheetViews>
  <sheetFormatPr defaultRowHeight="21" x14ac:dyDescent="0.35"/>
  <cols>
    <col min="2" max="2" width="34.140625" style="3" customWidth="1"/>
    <col min="3" max="3" width="18.42578125" customWidth="1"/>
    <col min="4" max="4" width="20.28515625" customWidth="1"/>
    <col min="5" max="5" width="20.42578125" customWidth="1"/>
    <col min="6" max="6" width="19.42578125" customWidth="1"/>
    <col min="7" max="7" width="21.140625" customWidth="1"/>
    <col min="8" max="8" width="49.85546875" customWidth="1"/>
    <col min="9" max="9" width="19.28515625" customWidth="1"/>
    <col min="10" max="10" width="21" customWidth="1"/>
    <col min="11" max="11" width="9.140625" customWidth="1"/>
  </cols>
  <sheetData>
    <row r="1" spans="1:13" ht="47.25" customHeight="1" x14ac:dyDescent="0.35">
      <c r="A1" s="206" t="s">
        <v>224</v>
      </c>
      <c r="B1" s="206"/>
      <c r="C1" s="206"/>
      <c r="D1" s="206"/>
      <c r="E1" s="206"/>
      <c r="F1" s="206"/>
      <c r="G1" s="206"/>
      <c r="H1" s="206"/>
      <c r="I1" s="206"/>
      <c r="J1" s="207"/>
    </row>
    <row r="2" spans="1:13" ht="0.75" customHeight="1" x14ac:dyDescent="0.35">
      <c r="A2" s="208" t="s">
        <v>223</v>
      </c>
      <c r="B2" s="208"/>
      <c r="C2" s="208"/>
      <c r="D2" s="208"/>
      <c r="E2" s="208"/>
      <c r="F2" s="208"/>
      <c r="G2" s="208"/>
      <c r="H2" s="208"/>
      <c r="I2" s="208"/>
      <c r="J2" s="113"/>
    </row>
    <row r="3" spans="1:13" ht="195.75" customHeight="1" x14ac:dyDescent="0.25">
      <c r="A3" s="209" t="s">
        <v>1</v>
      </c>
      <c r="B3" s="209" t="s">
        <v>2</v>
      </c>
      <c r="C3" s="203" t="s">
        <v>3</v>
      </c>
      <c r="D3" s="203"/>
      <c r="E3" s="203"/>
      <c r="F3" s="203" t="s">
        <v>4</v>
      </c>
      <c r="G3" s="203" t="s">
        <v>5</v>
      </c>
      <c r="H3" s="205" t="s">
        <v>6</v>
      </c>
      <c r="I3" s="206" t="s">
        <v>69</v>
      </c>
      <c r="J3" s="201" t="s">
        <v>70</v>
      </c>
    </row>
    <row r="4" spans="1:13" ht="58.5" customHeight="1" x14ac:dyDescent="0.25">
      <c r="A4" s="209"/>
      <c r="B4" s="209"/>
      <c r="C4" s="203" t="s">
        <v>7</v>
      </c>
      <c r="D4" s="203"/>
      <c r="E4" s="203"/>
      <c r="F4" s="204"/>
      <c r="G4" s="204"/>
      <c r="H4" s="204"/>
      <c r="I4" s="206"/>
      <c r="J4" s="202"/>
    </row>
    <row r="5" spans="1:13" ht="37.5" customHeight="1" x14ac:dyDescent="0.25">
      <c r="A5" s="209"/>
      <c r="B5" s="209"/>
      <c r="C5" s="98" t="s">
        <v>8</v>
      </c>
      <c r="D5" s="115" t="s">
        <v>9</v>
      </c>
      <c r="E5" s="98" t="s">
        <v>10</v>
      </c>
      <c r="F5" s="98" t="s">
        <v>8</v>
      </c>
      <c r="G5" s="98" t="s">
        <v>8</v>
      </c>
      <c r="H5" s="98" t="s">
        <v>8</v>
      </c>
      <c r="I5" s="206"/>
      <c r="J5" s="202"/>
    </row>
    <row r="6" spans="1:13" x14ac:dyDescent="0.35">
      <c r="A6" s="98" t="s">
        <v>11</v>
      </c>
      <c r="B6" s="98" t="s">
        <v>12</v>
      </c>
      <c r="C6" s="116">
        <v>1241.4100000000001</v>
      </c>
      <c r="D6" s="116">
        <v>1069.8900000000001</v>
      </c>
      <c r="E6" s="116">
        <v>2311.3000000000002</v>
      </c>
      <c r="F6" s="116">
        <v>967.38</v>
      </c>
      <c r="G6" s="116">
        <v>8.6300000000000008</v>
      </c>
      <c r="H6" s="116">
        <v>0</v>
      </c>
      <c r="I6" s="117">
        <v>87.2</v>
      </c>
      <c r="J6" s="118">
        <f>E6+F6+G6+H6+I6</f>
        <v>3374.51</v>
      </c>
      <c r="L6">
        <v>3374.51</v>
      </c>
    </row>
    <row r="7" spans="1:13" x14ac:dyDescent="0.35">
      <c r="A7" s="98" t="s">
        <v>13</v>
      </c>
      <c r="B7" s="98" t="s">
        <v>14</v>
      </c>
      <c r="C7" s="116">
        <v>328.7</v>
      </c>
      <c r="D7" s="116">
        <v>148.66</v>
      </c>
      <c r="E7" s="116">
        <f>SUM(C7:D7)</f>
        <v>477.36</v>
      </c>
      <c r="F7" s="116">
        <v>0</v>
      </c>
      <c r="G7" s="116">
        <v>0</v>
      </c>
      <c r="H7" s="116">
        <v>0</v>
      </c>
      <c r="I7" s="117">
        <v>25.96</v>
      </c>
      <c r="J7" s="118">
        <f t="shared" ref="J7:J34" si="0">E7+F7+G7+H7+I7</f>
        <v>503.32</v>
      </c>
      <c r="L7">
        <v>4034.14</v>
      </c>
      <c r="M7">
        <v>503.32</v>
      </c>
    </row>
    <row r="8" spans="1:13" x14ac:dyDescent="0.35">
      <c r="A8" s="98" t="s">
        <v>15</v>
      </c>
      <c r="B8" s="98" t="s">
        <v>16</v>
      </c>
      <c r="C8" s="116">
        <v>718.26</v>
      </c>
      <c r="D8" s="116">
        <v>1118.42</v>
      </c>
      <c r="E8" s="116">
        <f>SUM(C8:D8)</f>
        <v>1836.68</v>
      </c>
      <c r="F8" s="116">
        <v>0</v>
      </c>
      <c r="G8" s="116">
        <v>0</v>
      </c>
      <c r="H8" s="116">
        <v>0</v>
      </c>
      <c r="I8" s="117">
        <v>239.75</v>
      </c>
      <c r="J8" s="118">
        <f t="shared" si="0"/>
        <v>2076.4300000000003</v>
      </c>
      <c r="L8">
        <v>5337.2699999999995</v>
      </c>
      <c r="M8">
        <v>2076.4300000000003</v>
      </c>
    </row>
    <row r="9" spans="1:13" x14ac:dyDescent="0.35">
      <c r="A9" s="98" t="s">
        <v>17</v>
      </c>
      <c r="B9" s="98" t="s">
        <v>18</v>
      </c>
      <c r="C9" s="116">
        <v>2332.0300000000002</v>
      </c>
      <c r="D9" s="116">
        <v>1049.78</v>
      </c>
      <c r="E9" s="116">
        <v>3381.81</v>
      </c>
      <c r="F9" s="116">
        <v>245.31</v>
      </c>
      <c r="G9" s="116">
        <v>2.02</v>
      </c>
      <c r="H9" s="116">
        <v>0</v>
      </c>
      <c r="I9" s="117">
        <v>405</v>
      </c>
      <c r="J9" s="118">
        <f t="shared" si="0"/>
        <v>4034.14</v>
      </c>
      <c r="L9">
        <v>547.90000000000009</v>
      </c>
    </row>
    <row r="10" spans="1:13" x14ac:dyDescent="0.35">
      <c r="A10" s="98" t="s">
        <v>19</v>
      </c>
      <c r="B10" s="98" t="s">
        <v>20</v>
      </c>
      <c r="C10" s="116">
        <v>1763.43</v>
      </c>
      <c r="D10" s="116">
        <v>3388.72</v>
      </c>
      <c r="E10" s="116">
        <v>5152.1499999999996</v>
      </c>
      <c r="F10" s="116">
        <v>57.63</v>
      </c>
      <c r="G10" s="116">
        <v>3.44</v>
      </c>
      <c r="H10" s="116">
        <v>0</v>
      </c>
      <c r="I10" s="117">
        <v>124.05</v>
      </c>
      <c r="J10" s="118">
        <f t="shared" si="0"/>
        <v>5337.2699999999995</v>
      </c>
      <c r="L10">
        <v>5174.93</v>
      </c>
    </row>
    <row r="11" spans="1:13" x14ac:dyDescent="0.35">
      <c r="A11" s="98" t="s">
        <v>21</v>
      </c>
      <c r="B11" s="98" t="s">
        <v>22</v>
      </c>
      <c r="C11" s="117">
        <v>251.25</v>
      </c>
      <c r="D11" s="117">
        <v>74.05</v>
      </c>
      <c r="E11" s="116">
        <f>SUM(C11:D11)</f>
        <v>325.3</v>
      </c>
      <c r="F11" s="116">
        <v>125.73</v>
      </c>
      <c r="G11" s="116">
        <v>0</v>
      </c>
      <c r="H11" s="116">
        <v>0</v>
      </c>
      <c r="I11" s="117">
        <v>96.87</v>
      </c>
      <c r="J11" s="118">
        <f t="shared" si="0"/>
        <v>547.90000000000009</v>
      </c>
      <c r="L11">
        <v>2939.1600000000003</v>
      </c>
    </row>
    <row r="12" spans="1:13" x14ac:dyDescent="0.35">
      <c r="A12" s="98" t="s">
        <v>23</v>
      </c>
      <c r="B12" s="98" t="s">
        <v>24</v>
      </c>
      <c r="C12" s="116">
        <v>3684.31</v>
      </c>
      <c r="D12" s="116">
        <v>219.97</v>
      </c>
      <c r="E12" s="116">
        <f>SUM(C12:D12)</f>
        <v>3904.2799999999997</v>
      </c>
      <c r="F12" s="116">
        <v>814.96</v>
      </c>
      <c r="G12" s="116">
        <v>6.67</v>
      </c>
      <c r="H12" s="116">
        <v>0</v>
      </c>
      <c r="I12" s="117">
        <v>449.02</v>
      </c>
      <c r="J12" s="118">
        <f t="shared" si="0"/>
        <v>5174.93</v>
      </c>
      <c r="L12">
        <v>2253.08</v>
      </c>
    </row>
    <row r="13" spans="1:13" x14ac:dyDescent="0.35">
      <c r="A13" s="98" t="s">
        <v>25</v>
      </c>
      <c r="B13" s="98" t="s">
        <v>26</v>
      </c>
      <c r="C13" s="116">
        <v>1161.6600000000001</v>
      </c>
      <c r="D13" s="116">
        <v>711.22</v>
      </c>
      <c r="E13" s="116">
        <v>1872.88</v>
      </c>
      <c r="F13" s="116">
        <v>821.4</v>
      </c>
      <c r="G13" s="116">
        <v>0</v>
      </c>
      <c r="H13" s="116">
        <v>0</v>
      </c>
      <c r="I13" s="117">
        <v>244.88</v>
      </c>
      <c r="J13" s="118">
        <f t="shared" si="0"/>
        <v>2939.1600000000003</v>
      </c>
      <c r="L13">
        <v>1250.0899999999999</v>
      </c>
    </row>
    <row r="14" spans="1:13" x14ac:dyDescent="0.35">
      <c r="A14" s="98" t="s">
        <v>27</v>
      </c>
      <c r="B14" s="98" t="s">
        <v>28</v>
      </c>
      <c r="C14" s="116">
        <v>701.35</v>
      </c>
      <c r="D14" s="116">
        <v>1137.32</v>
      </c>
      <c r="E14" s="116">
        <v>1838.67</v>
      </c>
      <c r="F14" s="116">
        <v>121.23</v>
      </c>
      <c r="G14" s="116">
        <v>75.27</v>
      </c>
      <c r="H14" s="116">
        <v>4.18</v>
      </c>
      <c r="I14" s="117">
        <v>213.73</v>
      </c>
      <c r="J14" s="118">
        <f t="shared" si="0"/>
        <v>2253.08</v>
      </c>
      <c r="L14">
        <v>1523.24</v>
      </c>
    </row>
    <row r="15" spans="1:13" x14ac:dyDescent="0.35">
      <c r="A15" s="98" t="s">
        <v>29</v>
      </c>
      <c r="B15" s="98" t="s">
        <v>30</v>
      </c>
      <c r="C15" s="116">
        <v>115.74</v>
      </c>
      <c r="D15" s="116">
        <v>984.44</v>
      </c>
      <c r="E15" s="116">
        <v>1100.18</v>
      </c>
      <c r="F15" s="116">
        <v>65.36</v>
      </c>
      <c r="G15" s="116">
        <v>18.260000000000002</v>
      </c>
      <c r="H15" s="116">
        <v>39.33</v>
      </c>
      <c r="I15" s="117">
        <v>26.96</v>
      </c>
      <c r="J15" s="118">
        <f t="shared" si="0"/>
        <v>1250.0899999999999</v>
      </c>
      <c r="L15">
        <v>30170.190000000002</v>
      </c>
    </row>
    <row r="16" spans="1:13" x14ac:dyDescent="0.35">
      <c r="A16" s="98" t="s">
        <v>31</v>
      </c>
      <c r="B16" s="98" t="s">
        <v>32</v>
      </c>
      <c r="C16" s="116">
        <v>743.46</v>
      </c>
      <c r="D16" s="116">
        <v>480.74</v>
      </c>
      <c r="E16" s="116">
        <f>SUM(C16:D16)</f>
        <v>1224.2</v>
      </c>
      <c r="F16" s="116">
        <v>127.07</v>
      </c>
      <c r="G16" s="116">
        <v>47.78</v>
      </c>
      <c r="H16" s="116">
        <v>0</v>
      </c>
      <c r="I16" s="117">
        <v>124.19</v>
      </c>
      <c r="J16" s="118">
        <f t="shared" si="0"/>
        <v>1523.24</v>
      </c>
      <c r="L16">
        <v>5871.41</v>
      </c>
    </row>
    <row r="17" spans="1:13" x14ac:dyDescent="0.35">
      <c r="A17" s="98" t="s">
        <v>33</v>
      </c>
      <c r="B17" s="98" t="s">
        <v>34</v>
      </c>
      <c r="C17" s="116">
        <v>19103.77</v>
      </c>
      <c r="D17" s="116">
        <v>7788.56</v>
      </c>
      <c r="E17" s="116">
        <f>SUM(C17:D17)</f>
        <v>26892.33</v>
      </c>
      <c r="F17" s="116">
        <v>220.05</v>
      </c>
      <c r="G17" s="116">
        <v>895.73</v>
      </c>
      <c r="H17" s="116">
        <v>0</v>
      </c>
      <c r="I17" s="117">
        <v>2162.08</v>
      </c>
      <c r="J17" s="118">
        <f>E17+F17+G17+H17+I17</f>
        <v>30170.190000000002</v>
      </c>
      <c r="L17">
        <v>4070.54</v>
      </c>
    </row>
    <row r="18" spans="1:13" x14ac:dyDescent="0.35">
      <c r="A18" s="98" t="s">
        <v>35</v>
      </c>
      <c r="B18" s="98" t="s">
        <v>36</v>
      </c>
      <c r="C18" s="116">
        <v>1540.51</v>
      </c>
      <c r="D18" s="116">
        <v>3432.7</v>
      </c>
      <c r="E18" s="116">
        <f>SUM(C18:D18)</f>
        <v>4973.21</v>
      </c>
      <c r="F18" s="116">
        <v>123.46</v>
      </c>
      <c r="G18" s="116">
        <v>19.98</v>
      </c>
      <c r="H18" s="116">
        <v>286.68</v>
      </c>
      <c r="I18" s="117">
        <v>468.08</v>
      </c>
      <c r="J18" s="118">
        <f t="shared" si="0"/>
        <v>5871.41</v>
      </c>
      <c r="L18">
        <v>14329.119999999999</v>
      </c>
    </row>
    <row r="19" spans="1:13" x14ac:dyDescent="0.35">
      <c r="A19" s="98" t="s">
        <v>37</v>
      </c>
      <c r="B19" s="98" t="s">
        <v>38</v>
      </c>
      <c r="C19" s="116">
        <v>2518.31</v>
      </c>
      <c r="D19" s="116">
        <v>3811.56</v>
      </c>
      <c r="E19" s="116">
        <f>SUM(C19:D19)</f>
        <v>6329.87</v>
      </c>
      <c r="F19" s="116">
        <v>1260.93</v>
      </c>
      <c r="G19" s="116">
        <v>0</v>
      </c>
      <c r="H19" s="116">
        <v>0</v>
      </c>
      <c r="I19" s="117">
        <v>291.3</v>
      </c>
      <c r="J19" s="118">
        <f t="shared" si="0"/>
        <v>7882.1</v>
      </c>
      <c r="L19">
        <v>5836.5700000000006</v>
      </c>
    </row>
    <row r="20" spans="1:13" x14ac:dyDescent="0.35">
      <c r="A20" s="98" t="s">
        <v>39</v>
      </c>
      <c r="B20" s="98" t="s">
        <v>40</v>
      </c>
      <c r="C20" s="116">
        <v>5331.24</v>
      </c>
      <c r="D20" s="116">
        <v>5016.5</v>
      </c>
      <c r="E20" s="116">
        <v>10347.74</v>
      </c>
      <c r="F20" s="116">
        <v>1516.22</v>
      </c>
      <c r="G20" s="116">
        <v>741.36</v>
      </c>
      <c r="H20" s="116">
        <v>1261.75</v>
      </c>
      <c r="I20" s="117">
        <v>462.05</v>
      </c>
      <c r="J20" s="118">
        <f t="shared" si="0"/>
        <v>14329.119999999999</v>
      </c>
      <c r="L20">
        <v>2100.9499999999998</v>
      </c>
    </row>
    <row r="21" spans="1:13" x14ac:dyDescent="0.35">
      <c r="A21" s="98" t="s">
        <v>41</v>
      </c>
      <c r="B21" s="98" t="s">
        <v>42</v>
      </c>
      <c r="C21" s="119">
        <v>109.93</v>
      </c>
      <c r="D21" s="119">
        <v>229.62</v>
      </c>
      <c r="E21" s="113">
        <v>339.56</v>
      </c>
      <c r="F21" s="119">
        <v>64.319999999999993</v>
      </c>
      <c r="G21" s="119">
        <v>5.51</v>
      </c>
      <c r="H21" s="119">
        <v>0</v>
      </c>
      <c r="I21" s="120">
        <v>17.78</v>
      </c>
      <c r="J21" s="118">
        <f t="shared" si="0"/>
        <v>427.16999999999996</v>
      </c>
      <c r="L21">
        <v>6245.2999999999993</v>
      </c>
      <c r="M21">
        <v>427.16999999999996</v>
      </c>
    </row>
    <row r="22" spans="1:13" x14ac:dyDescent="0.35">
      <c r="A22" s="98" t="s">
        <v>43</v>
      </c>
      <c r="B22" s="98" t="s">
        <v>44</v>
      </c>
      <c r="C22" s="116">
        <v>332.68209999999999</v>
      </c>
      <c r="D22" s="116">
        <v>273.88869999999997</v>
      </c>
      <c r="E22" s="116">
        <f>SUM(C22:D22)</f>
        <v>606.57079999999996</v>
      </c>
      <c r="F22" s="116">
        <v>14.93</v>
      </c>
      <c r="G22" s="116">
        <v>0</v>
      </c>
      <c r="H22" s="119">
        <v>0</v>
      </c>
      <c r="I22" s="116">
        <v>88.48</v>
      </c>
      <c r="J22" s="118">
        <f t="shared" si="0"/>
        <v>709.98079999999993</v>
      </c>
      <c r="L22">
        <v>9067.77</v>
      </c>
      <c r="M22">
        <v>709.98079999999993</v>
      </c>
    </row>
    <row r="23" spans="1:13" x14ac:dyDescent="0.35">
      <c r="A23" s="98" t="s">
        <v>45</v>
      </c>
      <c r="B23" s="98" t="s">
        <v>46</v>
      </c>
      <c r="C23" s="119">
        <v>461.97</v>
      </c>
      <c r="D23" s="119">
        <v>234.39</v>
      </c>
      <c r="E23" s="118">
        <f>SUM(C23:D23)</f>
        <v>696.36</v>
      </c>
      <c r="F23" s="119">
        <v>5.4</v>
      </c>
      <c r="G23" s="119">
        <v>78.319999999999993</v>
      </c>
      <c r="H23" s="119">
        <v>4.1020000000000003</v>
      </c>
      <c r="I23" s="120">
        <v>114.85</v>
      </c>
      <c r="J23" s="118">
        <f t="shared" si="0"/>
        <v>899.03199999999993</v>
      </c>
      <c r="L23">
        <v>2476.431</v>
      </c>
      <c r="M23">
        <v>899.03199999999993</v>
      </c>
    </row>
    <row r="24" spans="1:13" x14ac:dyDescent="0.35">
      <c r="A24" s="98" t="s">
        <v>47</v>
      </c>
      <c r="B24" s="98" t="s">
        <v>48</v>
      </c>
      <c r="C24" s="116">
        <v>60.06</v>
      </c>
      <c r="D24" s="116">
        <v>341.26</v>
      </c>
      <c r="E24" s="116">
        <v>401.32</v>
      </c>
      <c r="F24" s="116">
        <v>64.040000000000006</v>
      </c>
      <c r="G24" s="116">
        <v>0.5</v>
      </c>
      <c r="H24" s="116">
        <v>0</v>
      </c>
      <c r="I24" s="117">
        <v>11.11</v>
      </c>
      <c r="J24" s="118">
        <f t="shared" si="0"/>
        <v>476.97</v>
      </c>
      <c r="L24">
        <v>13400.160000000002</v>
      </c>
      <c r="M24">
        <v>476.97</v>
      </c>
    </row>
    <row r="25" spans="1:13" x14ac:dyDescent="0.35">
      <c r="A25" s="98" t="s">
        <v>49</v>
      </c>
      <c r="B25" s="98" t="s">
        <v>50</v>
      </c>
      <c r="C25" s="116">
        <v>3109.23</v>
      </c>
      <c r="D25" s="116">
        <v>1865.24</v>
      </c>
      <c r="E25" s="116">
        <v>4974.47</v>
      </c>
      <c r="F25" s="116">
        <v>648.16</v>
      </c>
      <c r="G25" s="116">
        <v>30.42</v>
      </c>
      <c r="H25" s="116">
        <v>28.01</v>
      </c>
      <c r="I25" s="117">
        <v>155.51</v>
      </c>
      <c r="J25" s="118">
        <f t="shared" si="0"/>
        <v>5836.5700000000006</v>
      </c>
      <c r="L25">
        <v>2243.1799999999998</v>
      </c>
    </row>
    <row r="26" spans="1:13" x14ac:dyDescent="0.35">
      <c r="A26" s="98" t="s">
        <v>51</v>
      </c>
      <c r="B26" s="98" t="s">
        <v>52</v>
      </c>
      <c r="C26" s="116">
        <v>898.1</v>
      </c>
      <c r="D26" s="116">
        <v>736.02</v>
      </c>
      <c r="E26" s="116">
        <f>SUM(C26:D26)</f>
        <v>1634.12</v>
      </c>
      <c r="F26" s="116">
        <v>175.86</v>
      </c>
      <c r="G26" s="116">
        <v>0</v>
      </c>
      <c r="H26" s="116">
        <v>0</v>
      </c>
      <c r="I26" s="117">
        <v>290.97000000000003</v>
      </c>
      <c r="J26" s="118">
        <f t="shared" si="0"/>
        <v>2100.9499999999998</v>
      </c>
      <c r="L26">
        <v>2755.71</v>
      </c>
    </row>
    <row r="27" spans="1:13" x14ac:dyDescent="0.35">
      <c r="A27" s="98" t="s">
        <v>53</v>
      </c>
      <c r="B27" s="98" t="s">
        <v>54</v>
      </c>
      <c r="C27" s="116">
        <v>3729.23</v>
      </c>
      <c r="D27" s="116">
        <v>1497.69</v>
      </c>
      <c r="E27" s="116">
        <f>SUM(C27:D27)</f>
        <v>5226.92</v>
      </c>
      <c r="F27" s="116">
        <v>492.32</v>
      </c>
      <c r="G27" s="116">
        <v>24.29</v>
      </c>
      <c r="H27" s="116">
        <v>0</v>
      </c>
      <c r="I27" s="117">
        <v>501.77</v>
      </c>
      <c r="J27" s="118">
        <f t="shared" si="0"/>
        <v>6245.2999999999993</v>
      </c>
    </row>
    <row r="28" spans="1:13" x14ac:dyDescent="0.35">
      <c r="A28" s="98" t="s">
        <v>55</v>
      </c>
      <c r="B28" s="98" t="s">
        <v>56</v>
      </c>
      <c r="C28" s="116">
        <v>180.91</v>
      </c>
      <c r="D28" s="116">
        <v>99.26</v>
      </c>
      <c r="E28" s="116">
        <v>280.17</v>
      </c>
      <c r="F28" s="116">
        <v>141.75</v>
      </c>
      <c r="G28" s="116">
        <v>0</v>
      </c>
      <c r="H28" s="116">
        <v>0</v>
      </c>
      <c r="I28" s="117">
        <v>16.760000000000002</v>
      </c>
      <c r="J28" s="118">
        <f t="shared" si="0"/>
        <v>438.68</v>
      </c>
      <c r="M28">
        <v>438.68</v>
      </c>
    </row>
    <row r="29" spans="1:13" x14ac:dyDescent="0.35">
      <c r="A29" s="98" t="s">
        <v>57</v>
      </c>
      <c r="B29" s="98" t="s">
        <v>58</v>
      </c>
      <c r="C29" s="116">
        <v>3000.84</v>
      </c>
      <c r="D29" s="116">
        <v>4696.33</v>
      </c>
      <c r="E29" s="116">
        <v>7697.17</v>
      </c>
      <c r="F29" s="116">
        <v>112.13</v>
      </c>
      <c r="G29" s="116">
        <v>231.06</v>
      </c>
      <c r="H29" s="116">
        <v>0</v>
      </c>
      <c r="I29" s="117">
        <v>1027.4100000000001</v>
      </c>
      <c r="J29" s="118">
        <f t="shared" si="0"/>
        <v>9067.77</v>
      </c>
    </row>
    <row r="30" spans="1:13" x14ac:dyDescent="0.35">
      <c r="A30" s="98" t="s">
        <v>59</v>
      </c>
      <c r="B30" s="98" t="s">
        <v>60</v>
      </c>
      <c r="C30" s="116">
        <v>904.76</v>
      </c>
      <c r="D30" s="116">
        <v>805.93</v>
      </c>
      <c r="E30" s="116">
        <f>SUM(C30:D30)</f>
        <v>1710.69</v>
      </c>
      <c r="F30" s="116">
        <v>697.25</v>
      </c>
      <c r="G30" s="116">
        <v>6.1710000000000003</v>
      </c>
      <c r="H30" s="116">
        <v>0</v>
      </c>
      <c r="I30" s="117">
        <v>62.32</v>
      </c>
      <c r="J30" s="118">
        <f t="shared" si="0"/>
        <v>2476.431</v>
      </c>
    </row>
    <row r="31" spans="1:13" x14ac:dyDescent="0.35">
      <c r="A31" s="98" t="s">
        <v>61</v>
      </c>
      <c r="B31" s="98" t="s">
        <v>62</v>
      </c>
      <c r="C31" s="116">
        <v>120.08</v>
      </c>
      <c r="D31" s="116">
        <v>297.48</v>
      </c>
      <c r="E31" s="116">
        <v>417.56</v>
      </c>
      <c r="F31" s="116">
        <v>23.4</v>
      </c>
      <c r="G31" s="116">
        <v>44.02</v>
      </c>
      <c r="H31" s="116">
        <v>0</v>
      </c>
      <c r="I31" s="117">
        <v>21.96</v>
      </c>
      <c r="J31" s="118">
        <f t="shared" si="0"/>
        <v>506.93999999999994</v>
      </c>
      <c r="M31">
        <v>506.93999999999994</v>
      </c>
    </row>
    <row r="32" spans="1:13" x14ac:dyDescent="0.35">
      <c r="A32" s="98" t="s">
        <v>63</v>
      </c>
      <c r="B32" s="98" t="s">
        <v>64</v>
      </c>
      <c r="C32" s="116">
        <v>4472.04</v>
      </c>
      <c r="D32" s="116">
        <v>7826.59</v>
      </c>
      <c r="E32" s="116">
        <v>12298.63</v>
      </c>
      <c r="F32" s="116">
        <v>790.87</v>
      </c>
      <c r="G32" s="116">
        <v>9.7899999999999991</v>
      </c>
      <c r="H32" s="116">
        <v>0</v>
      </c>
      <c r="I32" s="117">
        <v>300.87</v>
      </c>
      <c r="J32" s="118">
        <f t="shared" si="0"/>
        <v>13400.160000000002</v>
      </c>
    </row>
    <row r="33" spans="1:10" x14ac:dyDescent="0.35">
      <c r="A33" s="98" t="s">
        <v>65</v>
      </c>
      <c r="B33" s="98" t="s">
        <v>66</v>
      </c>
      <c r="C33" s="116">
        <v>261.95</v>
      </c>
      <c r="D33" s="116">
        <v>1250.06</v>
      </c>
      <c r="E33" s="116">
        <v>1512.01</v>
      </c>
      <c r="F33" s="116">
        <v>488.56</v>
      </c>
      <c r="G33" s="116">
        <v>21.89</v>
      </c>
      <c r="H33" s="116">
        <v>0</v>
      </c>
      <c r="I33" s="117">
        <v>220.72</v>
      </c>
      <c r="J33" s="118">
        <f t="shared" si="0"/>
        <v>2243.1799999999998</v>
      </c>
    </row>
    <row r="34" spans="1:10" x14ac:dyDescent="0.35">
      <c r="A34" s="98" t="s">
        <v>67</v>
      </c>
      <c r="B34" s="98" t="s">
        <v>68</v>
      </c>
      <c r="C34" s="116">
        <v>1152.5999999999999</v>
      </c>
      <c r="D34" s="116">
        <v>1352.83</v>
      </c>
      <c r="E34" s="116">
        <v>2504.9</v>
      </c>
      <c r="F34" s="116">
        <v>16.71</v>
      </c>
      <c r="G34" s="116">
        <v>25.96</v>
      </c>
      <c r="H34" s="116">
        <v>0</v>
      </c>
      <c r="I34" s="117">
        <v>208.14</v>
      </c>
      <c r="J34" s="118">
        <f t="shared" si="0"/>
        <v>2755.71</v>
      </c>
    </row>
    <row r="35" spans="1:10" ht="20.25" x14ac:dyDescent="0.25">
      <c r="A35" s="1"/>
      <c r="B35" s="2"/>
      <c r="C35" s="1"/>
      <c r="D35" s="1"/>
      <c r="E35" s="1"/>
      <c r="F35" s="1"/>
      <c r="G35" s="1"/>
      <c r="H35" s="1"/>
      <c r="I35" s="1"/>
    </row>
  </sheetData>
  <mergeCells count="11">
    <mergeCell ref="J3:J5"/>
    <mergeCell ref="F3:F4"/>
    <mergeCell ref="G3:G4"/>
    <mergeCell ref="H3:H4"/>
    <mergeCell ref="A1:J1"/>
    <mergeCell ref="A2:I2"/>
    <mergeCell ref="A3:A5"/>
    <mergeCell ref="B3:B5"/>
    <mergeCell ref="C3:E3"/>
    <mergeCell ref="I3:I5"/>
    <mergeCell ref="C4:E4"/>
  </mergeCells>
  <pageMargins left="0.7" right="0.7" top="0.75" bottom="0.75" header="0.3" footer="0.3"/>
  <pageSetup scale="50" orientation="landscape" r:id="rId1"/>
  <colBreaks count="1" manualBreakCount="1">
    <brk id="10"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B4" zoomScaleNormal="100" workbookViewId="0">
      <selection activeCell="J17" sqref="J17"/>
    </sheetView>
  </sheetViews>
  <sheetFormatPr defaultRowHeight="21" x14ac:dyDescent="0.35"/>
  <cols>
    <col min="2" max="2" width="34.140625" style="3" customWidth="1"/>
    <col min="3" max="3" width="15.28515625" customWidth="1"/>
    <col min="4" max="4" width="20.28515625" customWidth="1"/>
    <col min="5" max="5" width="20.42578125" customWidth="1"/>
    <col min="6" max="6" width="19.42578125" customWidth="1"/>
    <col min="7" max="7" width="21.140625" customWidth="1"/>
    <col min="8" max="8" width="49.85546875" customWidth="1"/>
    <col min="9" max="9" width="19.28515625" customWidth="1"/>
    <col min="10" max="10" width="21" customWidth="1"/>
  </cols>
  <sheetData>
    <row r="1" spans="1:13" ht="39.75" customHeight="1" x14ac:dyDescent="0.35">
      <c r="A1" s="206" t="s">
        <v>71</v>
      </c>
      <c r="B1" s="206"/>
      <c r="C1" s="206"/>
      <c r="D1" s="206"/>
      <c r="E1" s="206"/>
      <c r="F1" s="206"/>
      <c r="G1" s="206"/>
      <c r="H1" s="206"/>
      <c r="I1" s="206"/>
      <c r="J1" s="207"/>
    </row>
    <row r="2" spans="1:13" x14ac:dyDescent="0.35">
      <c r="A2" s="208" t="s">
        <v>0</v>
      </c>
      <c r="B2" s="208"/>
      <c r="C2" s="208"/>
      <c r="D2" s="208"/>
      <c r="E2" s="208"/>
      <c r="F2" s="208"/>
      <c r="G2" s="208"/>
      <c r="H2" s="208"/>
      <c r="I2" s="208"/>
      <c r="J2" s="113"/>
    </row>
    <row r="3" spans="1:13" ht="237.75" customHeight="1" x14ac:dyDescent="0.35">
      <c r="A3" s="209" t="s">
        <v>1</v>
      </c>
      <c r="B3" s="209" t="s">
        <v>2</v>
      </c>
      <c r="C3" s="203" t="s">
        <v>3</v>
      </c>
      <c r="D3" s="203"/>
      <c r="E3" s="203"/>
      <c r="F3" s="115" t="s">
        <v>4</v>
      </c>
      <c r="G3" s="115" t="s">
        <v>5</v>
      </c>
      <c r="H3" s="114" t="s">
        <v>6</v>
      </c>
      <c r="I3" s="206" t="s">
        <v>69</v>
      </c>
      <c r="J3" s="121" t="s">
        <v>70</v>
      </c>
    </row>
    <row r="4" spans="1:13" ht="58.5" customHeight="1" x14ac:dyDescent="0.35">
      <c r="A4" s="209"/>
      <c r="B4" s="209"/>
      <c r="C4" s="203" t="s">
        <v>7</v>
      </c>
      <c r="D4" s="203"/>
      <c r="E4" s="203"/>
      <c r="F4" s="115" t="s">
        <v>7</v>
      </c>
      <c r="G4" s="115" t="s">
        <v>7</v>
      </c>
      <c r="H4" s="115" t="s">
        <v>7</v>
      </c>
      <c r="I4" s="206"/>
      <c r="J4" s="113"/>
    </row>
    <row r="5" spans="1:13" ht="37.5" customHeight="1" x14ac:dyDescent="0.35">
      <c r="A5" s="209"/>
      <c r="B5" s="209"/>
      <c r="C5" s="112" t="s">
        <v>8</v>
      </c>
      <c r="D5" s="115" t="s">
        <v>9</v>
      </c>
      <c r="E5" s="112" t="s">
        <v>10</v>
      </c>
      <c r="F5" s="112" t="s">
        <v>8</v>
      </c>
      <c r="G5" s="112" t="s">
        <v>8</v>
      </c>
      <c r="H5" s="112" t="s">
        <v>8</v>
      </c>
      <c r="I5" s="206"/>
      <c r="J5" s="113"/>
    </row>
    <row r="6" spans="1:13" x14ac:dyDescent="0.35">
      <c r="A6" s="112" t="s">
        <v>11</v>
      </c>
      <c r="B6" s="112" t="s">
        <v>12</v>
      </c>
      <c r="C6" s="116">
        <v>814.74</v>
      </c>
      <c r="D6" s="116">
        <v>8466.33</v>
      </c>
      <c r="E6" s="116">
        <v>9281.07</v>
      </c>
      <c r="F6" s="116">
        <v>505.19</v>
      </c>
      <c r="G6" s="116">
        <v>184.57</v>
      </c>
      <c r="H6" s="116">
        <v>0</v>
      </c>
      <c r="I6" s="117">
        <v>116.89</v>
      </c>
      <c r="J6" s="118">
        <f>E6+F6+G6+H6+I6</f>
        <v>10087.719999999999</v>
      </c>
      <c r="L6">
        <v>10087.719999999999</v>
      </c>
    </row>
    <row r="7" spans="1:13" x14ac:dyDescent="0.35">
      <c r="A7" s="112" t="s">
        <v>13</v>
      </c>
      <c r="B7" s="112" t="s">
        <v>14</v>
      </c>
      <c r="C7" s="116">
        <v>365.17</v>
      </c>
      <c r="D7" s="116">
        <v>162.30000000000001</v>
      </c>
      <c r="E7" s="116">
        <f>SUM(C7:D7)</f>
        <v>527.47</v>
      </c>
      <c r="F7" s="116">
        <v>0</v>
      </c>
      <c r="G7" s="116">
        <v>0</v>
      </c>
      <c r="H7" s="116">
        <v>0</v>
      </c>
      <c r="I7" s="117">
        <v>29.82</v>
      </c>
      <c r="J7" s="118">
        <f t="shared" ref="J7:J34" si="0">E7+F7+G7+H7+I7</f>
        <v>557.29000000000008</v>
      </c>
      <c r="L7">
        <v>5010.3099999999995</v>
      </c>
      <c r="M7">
        <v>557.29000000000008</v>
      </c>
    </row>
    <row r="8" spans="1:13" x14ac:dyDescent="0.35">
      <c r="A8" s="112" t="s">
        <v>15</v>
      </c>
      <c r="B8" s="112" t="s">
        <v>16</v>
      </c>
      <c r="C8" s="116">
        <v>1650.06</v>
      </c>
      <c r="D8" s="116">
        <v>1402.25</v>
      </c>
      <c r="E8" s="116">
        <f>SUM(C8:D8)</f>
        <v>3052.31</v>
      </c>
      <c r="F8" s="116">
        <v>0</v>
      </c>
      <c r="G8" s="116">
        <v>0</v>
      </c>
      <c r="H8" s="116">
        <v>0</v>
      </c>
      <c r="I8" s="117">
        <v>216.07</v>
      </c>
      <c r="J8" s="118">
        <f t="shared" si="0"/>
        <v>3268.38</v>
      </c>
      <c r="L8">
        <v>2890.07</v>
      </c>
      <c r="M8">
        <v>3268.38</v>
      </c>
    </row>
    <row r="9" spans="1:13" x14ac:dyDescent="0.35">
      <c r="A9" s="112" t="s">
        <v>17</v>
      </c>
      <c r="B9" s="112" t="s">
        <v>18</v>
      </c>
      <c r="C9" s="116">
        <v>3031.82</v>
      </c>
      <c r="D9" s="116">
        <v>1061.55</v>
      </c>
      <c r="E9" s="116">
        <v>4093.37</v>
      </c>
      <c r="F9" s="116">
        <v>205.19</v>
      </c>
      <c r="G9" s="116">
        <v>26.25</v>
      </c>
      <c r="H9" s="116">
        <v>0</v>
      </c>
      <c r="I9" s="117">
        <v>685.5</v>
      </c>
      <c r="J9" s="118">
        <f t="shared" si="0"/>
        <v>5010.3099999999995</v>
      </c>
      <c r="L9">
        <v>498.95</v>
      </c>
      <c r="M9">
        <v>585.38000000000011</v>
      </c>
    </row>
    <row r="10" spans="1:13" x14ac:dyDescent="0.35">
      <c r="A10" s="112" t="s">
        <v>19</v>
      </c>
      <c r="B10" s="112" t="s">
        <v>20</v>
      </c>
      <c r="C10" s="116">
        <v>1456.32</v>
      </c>
      <c r="D10" s="116">
        <v>1246.3599999999999</v>
      </c>
      <c r="E10" s="116">
        <v>2702.68</v>
      </c>
      <c r="F10" s="116">
        <v>46.92</v>
      </c>
      <c r="G10" s="116">
        <v>3.69</v>
      </c>
      <c r="H10" s="116">
        <v>0</v>
      </c>
      <c r="I10" s="117">
        <v>136.78</v>
      </c>
      <c r="J10" s="118">
        <f t="shared" si="0"/>
        <v>2890.07</v>
      </c>
      <c r="L10">
        <v>5206.72</v>
      </c>
      <c r="M10">
        <v>722.21939999999995</v>
      </c>
    </row>
    <row r="11" spans="1:13" x14ac:dyDescent="0.35">
      <c r="A11" s="112" t="s">
        <v>21</v>
      </c>
      <c r="B11" s="112" t="s">
        <v>22</v>
      </c>
      <c r="C11" s="117">
        <v>253.17</v>
      </c>
      <c r="D11" s="117">
        <v>79.11</v>
      </c>
      <c r="E11" s="116">
        <v>332.28</v>
      </c>
      <c r="F11" s="116">
        <v>80.3</v>
      </c>
      <c r="G11" s="116">
        <v>0</v>
      </c>
      <c r="H11" s="116">
        <v>0</v>
      </c>
      <c r="I11" s="117">
        <v>86.37</v>
      </c>
      <c r="J11" s="118">
        <f t="shared" si="0"/>
        <v>498.95</v>
      </c>
      <c r="L11">
        <v>3313.9100000000003</v>
      </c>
      <c r="M11">
        <v>856.66000000000008</v>
      </c>
    </row>
    <row r="12" spans="1:13" x14ac:dyDescent="0.35">
      <c r="A12" s="112" t="s">
        <v>23</v>
      </c>
      <c r="B12" s="112" t="s">
        <v>24</v>
      </c>
      <c r="C12" s="116">
        <v>3161.43</v>
      </c>
      <c r="D12" s="116">
        <v>1374.29</v>
      </c>
      <c r="E12" s="116">
        <f>SUM(C12:D12)</f>
        <v>4535.7199999999993</v>
      </c>
      <c r="F12" s="116">
        <v>8.27</v>
      </c>
      <c r="G12" s="116">
        <v>77.64</v>
      </c>
      <c r="H12" s="116">
        <v>0</v>
      </c>
      <c r="I12" s="117">
        <v>585.09</v>
      </c>
      <c r="J12" s="118">
        <f t="shared" si="0"/>
        <v>5206.72</v>
      </c>
      <c r="L12">
        <v>2589.09</v>
      </c>
      <c r="M12">
        <v>745.68999999999994</v>
      </c>
    </row>
    <row r="13" spans="1:13" x14ac:dyDescent="0.35">
      <c r="A13" s="112" t="s">
        <v>25</v>
      </c>
      <c r="B13" s="112" t="s">
        <v>26</v>
      </c>
      <c r="C13" s="116">
        <v>1460.48</v>
      </c>
      <c r="D13" s="116">
        <v>745.75</v>
      </c>
      <c r="E13" s="116">
        <v>2206.23</v>
      </c>
      <c r="F13" s="116">
        <v>806.49</v>
      </c>
      <c r="G13" s="116">
        <v>0</v>
      </c>
      <c r="H13" s="116">
        <v>0</v>
      </c>
      <c r="I13" s="117">
        <v>301.19</v>
      </c>
      <c r="J13" s="118">
        <f t="shared" si="0"/>
        <v>3313.9100000000003</v>
      </c>
      <c r="L13">
        <v>478.25</v>
      </c>
      <c r="M13">
        <v>541.42999999999995</v>
      </c>
    </row>
    <row r="14" spans="1:13" x14ac:dyDescent="0.35">
      <c r="A14" s="112" t="s">
        <v>27</v>
      </c>
      <c r="B14" s="112" t="s">
        <v>28</v>
      </c>
      <c r="C14" s="116">
        <v>943.47</v>
      </c>
      <c r="D14" s="116">
        <v>1160.4100000000001</v>
      </c>
      <c r="E14" s="116">
        <v>2103.88</v>
      </c>
      <c r="F14" s="116">
        <v>148.05000000000001</v>
      </c>
      <c r="G14" s="116">
        <v>84.54</v>
      </c>
      <c r="H14" s="116">
        <v>3.96</v>
      </c>
      <c r="I14" s="117">
        <v>248.66</v>
      </c>
      <c r="J14" s="118">
        <f t="shared" si="0"/>
        <v>2589.09</v>
      </c>
      <c r="L14">
        <v>2055.2199999999998</v>
      </c>
      <c r="M14">
        <v>638.65</v>
      </c>
    </row>
    <row r="15" spans="1:13" x14ac:dyDescent="0.35">
      <c r="A15" s="112" t="s">
        <v>29</v>
      </c>
      <c r="B15" s="112" t="s">
        <v>30</v>
      </c>
      <c r="C15" s="116">
        <v>35.89</v>
      </c>
      <c r="D15" s="116">
        <v>337.6</v>
      </c>
      <c r="E15" s="116">
        <v>373.49</v>
      </c>
      <c r="F15" s="116">
        <v>0.5</v>
      </c>
      <c r="G15" s="116">
        <v>0</v>
      </c>
      <c r="H15" s="116">
        <v>30.62</v>
      </c>
      <c r="I15" s="117">
        <v>73.64</v>
      </c>
      <c r="J15" s="118">
        <f t="shared" si="0"/>
        <v>478.25</v>
      </c>
      <c r="L15">
        <v>34741.049999999996</v>
      </c>
    </row>
    <row r="16" spans="1:13" x14ac:dyDescent="0.35">
      <c r="A16" s="112" t="s">
        <v>31</v>
      </c>
      <c r="B16" s="112" t="s">
        <v>32</v>
      </c>
      <c r="C16" s="116">
        <v>1023.71</v>
      </c>
      <c r="D16" s="116">
        <v>577</v>
      </c>
      <c r="E16" s="116">
        <f>SUM(C16:D16)</f>
        <v>1600.71</v>
      </c>
      <c r="F16" s="116">
        <v>250.79</v>
      </c>
      <c r="G16" s="116">
        <v>55.32</v>
      </c>
      <c r="H16" s="116">
        <v>0</v>
      </c>
      <c r="I16" s="117">
        <v>148.4</v>
      </c>
      <c r="J16" s="118">
        <f t="shared" si="0"/>
        <v>2055.2199999999998</v>
      </c>
      <c r="L16">
        <v>5951.4</v>
      </c>
    </row>
    <row r="17" spans="1:12" x14ac:dyDescent="0.35">
      <c r="A17" s="112" t="s">
        <v>33</v>
      </c>
      <c r="B17" s="112" t="s">
        <v>34</v>
      </c>
      <c r="C17" s="116">
        <v>21664.78</v>
      </c>
      <c r="D17" s="116">
        <v>9241.7800000000007</v>
      </c>
      <c r="E17" s="116">
        <f>SUM(C17:D17)</f>
        <v>30906.559999999998</v>
      </c>
      <c r="F17" s="116">
        <v>1258.95</v>
      </c>
      <c r="G17" s="116">
        <v>567.36</v>
      </c>
      <c r="H17" s="116">
        <v>0</v>
      </c>
      <c r="I17" s="117">
        <v>2008.18</v>
      </c>
      <c r="J17" s="118">
        <f>E17+F17+G17+H17+I17</f>
        <v>34741.049999999996</v>
      </c>
      <c r="L17">
        <v>10023.23</v>
      </c>
    </row>
    <row r="18" spans="1:12" x14ac:dyDescent="0.35">
      <c r="A18" s="112" t="s">
        <v>35</v>
      </c>
      <c r="B18" s="112" t="s">
        <v>36</v>
      </c>
      <c r="C18" s="116">
        <v>1848.7</v>
      </c>
      <c r="D18" s="116">
        <v>3191.13</v>
      </c>
      <c r="E18" s="116">
        <f>SUM(C18:D18)</f>
        <v>5039.83</v>
      </c>
      <c r="F18" s="116">
        <v>102.84</v>
      </c>
      <c r="G18" s="116">
        <v>28.96</v>
      </c>
      <c r="H18" s="116">
        <v>305.32</v>
      </c>
      <c r="I18" s="117">
        <v>474.45</v>
      </c>
      <c r="J18" s="118">
        <f t="shared" si="0"/>
        <v>5951.4</v>
      </c>
      <c r="L18">
        <v>16413.170000000002</v>
      </c>
    </row>
    <row r="19" spans="1:12" x14ac:dyDescent="0.35">
      <c r="A19" s="112" t="s">
        <v>37</v>
      </c>
      <c r="B19" s="112" t="s">
        <v>38</v>
      </c>
      <c r="C19" s="116">
        <v>4407.93</v>
      </c>
      <c r="D19" s="116">
        <v>4316.09</v>
      </c>
      <c r="E19" s="116">
        <v>8724.02</v>
      </c>
      <c r="F19" s="116">
        <v>920.81</v>
      </c>
      <c r="G19" s="116">
        <v>0</v>
      </c>
      <c r="H19" s="116">
        <v>0</v>
      </c>
      <c r="I19" s="117">
        <v>378.4</v>
      </c>
      <c r="J19" s="118">
        <f t="shared" si="0"/>
        <v>10023.23</v>
      </c>
      <c r="L19">
        <v>7911.4499999999989</v>
      </c>
    </row>
    <row r="20" spans="1:12" x14ac:dyDescent="0.35">
      <c r="A20" s="112" t="s">
        <v>39</v>
      </c>
      <c r="B20" s="112" t="s">
        <v>40</v>
      </c>
      <c r="C20" s="116">
        <v>7120.95</v>
      </c>
      <c r="D20" s="116">
        <v>4676.54</v>
      </c>
      <c r="E20" s="116">
        <v>11797.5</v>
      </c>
      <c r="F20" s="116">
        <v>1452.43</v>
      </c>
      <c r="G20" s="116">
        <v>1144.1300000000001</v>
      </c>
      <c r="H20" s="116">
        <v>1586</v>
      </c>
      <c r="I20" s="117">
        <v>433.11</v>
      </c>
      <c r="J20" s="118">
        <f t="shared" si="0"/>
        <v>16413.170000000002</v>
      </c>
      <c r="L20">
        <v>2792.6500000000005</v>
      </c>
    </row>
    <row r="21" spans="1:12" x14ac:dyDescent="0.35">
      <c r="A21" s="112" t="s">
        <v>41</v>
      </c>
      <c r="B21" s="112" t="s">
        <v>42</v>
      </c>
      <c r="C21" s="116">
        <v>232.74</v>
      </c>
      <c r="D21" s="116">
        <v>244.24</v>
      </c>
      <c r="E21" s="116">
        <v>476.98</v>
      </c>
      <c r="F21" s="116">
        <v>49.57</v>
      </c>
      <c r="G21" s="116">
        <v>11.1</v>
      </c>
      <c r="H21" s="116">
        <v>0</v>
      </c>
      <c r="I21" s="117">
        <v>47.73</v>
      </c>
      <c r="J21" s="118">
        <f t="shared" si="0"/>
        <v>585.38000000000011</v>
      </c>
      <c r="L21">
        <v>6896.85</v>
      </c>
    </row>
    <row r="22" spans="1:12" x14ac:dyDescent="0.35">
      <c r="A22" s="112" t="s">
        <v>43</v>
      </c>
      <c r="B22" s="112" t="s">
        <v>44</v>
      </c>
      <c r="C22" s="116">
        <v>318.77809999999999</v>
      </c>
      <c r="D22" s="116">
        <v>328.41129999999998</v>
      </c>
      <c r="E22" s="116">
        <f>SUM(C22:D22)</f>
        <v>647.18939999999998</v>
      </c>
      <c r="F22" s="116">
        <v>47.74</v>
      </c>
      <c r="G22" s="116">
        <v>0</v>
      </c>
      <c r="H22" s="116">
        <v>0</v>
      </c>
      <c r="I22" s="117">
        <v>27.29</v>
      </c>
      <c r="J22" s="118">
        <f t="shared" si="0"/>
        <v>722.21939999999995</v>
      </c>
      <c r="L22">
        <v>9175.3799999999992</v>
      </c>
    </row>
    <row r="23" spans="1:12" x14ac:dyDescent="0.35">
      <c r="A23" s="112" t="s">
        <v>45</v>
      </c>
      <c r="B23" s="112" t="s">
        <v>46</v>
      </c>
      <c r="C23" s="116">
        <v>403.62</v>
      </c>
      <c r="D23" s="116">
        <v>253.46</v>
      </c>
      <c r="E23" s="116">
        <f>SUM(C23:D23)</f>
        <v>657.08</v>
      </c>
      <c r="F23" s="116">
        <v>5.89</v>
      </c>
      <c r="G23" s="116">
        <v>35.71</v>
      </c>
      <c r="H23" s="116">
        <v>3.7</v>
      </c>
      <c r="I23" s="117">
        <v>154.28</v>
      </c>
      <c r="J23" s="118">
        <f t="shared" si="0"/>
        <v>856.66000000000008</v>
      </c>
      <c r="L23">
        <v>11333.410000000002</v>
      </c>
    </row>
    <row r="24" spans="1:12" x14ac:dyDescent="0.35">
      <c r="A24" s="112" t="s">
        <v>47</v>
      </c>
      <c r="B24" s="112" t="s">
        <v>48</v>
      </c>
      <c r="C24" s="116">
        <v>34</v>
      </c>
      <c r="D24" s="116">
        <v>544.88</v>
      </c>
      <c r="E24" s="116">
        <v>578.88</v>
      </c>
      <c r="F24" s="116">
        <v>136.13</v>
      </c>
      <c r="G24" s="116">
        <v>0</v>
      </c>
      <c r="H24" s="116">
        <v>0</v>
      </c>
      <c r="I24" s="117">
        <v>30.68</v>
      </c>
      <c r="J24" s="118">
        <f t="shared" si="0"/>
        <v>745.68999999999994</v>
      </c>
      <c r="L24">
        <v>12516.39</v>
      </c>
    </row>
    <row r="25" spans="1:12" x14ac:dyDescent="0.35">
      <c r="A25" s="112" t="s">
        <v>49</v>
      </c>
      <c r="B25" s="112" t="s">
        <v>50</v>
      </c>
      <c r="C25" s="116">
        <v>4399.1400000000003</v>
      </c>
      <c r="D25" s="116">
        <v>1838.64</v>
      </c>
      <c r="E25" s="116">
        <v>6237.78</v>
      </c>
      <c r="F25" s="116">
        <v>1139.0999999999999</v>
      </c>
      <c r="G25" s="116">
        <v>292.57</v>
      </c>
      <c r="H25" s="116">
        <v>4.55</v>
      </c>
      <c r="I25" s="117">
        <v>237.45</v>
      </c>
      <c r="J25" s="118">
        <f t="shared" si="0"/>
        <v>7911.4499999999989</v>
      </c>
      <c r="L25">
        <v>1889.3500000000001</v>
      </c>
    </row>
    <row r="26" spans="1:12" x14ac:dyDescent="0.35">
      <c r="A26" s="112" t="s">
        <v>51</v>
      </c>
      <c r="B26" s="112" t="s">
        <v>52</v>
      </c>
      <c r="C26" s="116">
        <v>1057</v>
      </c>
      <c r="D26" s="116">
        <v>1160.3</v>
      </c>
      <c r="E26" s="116">
        <f>SUM(C26:D26)</f>
        <v>2217.3000000000002</v>
      </c>
      <c r="F26" s="116">
        <v>368.36</v>
      </c>
      <c r="G26" s="116">
        <v>0</v>
      </c>
      <c r="H26" s="116">
        <v>0</v>
      </c>
      <c r="I26" s="117">
        <v>206.99</v>
      </c>
      <c r="J26" s="118">
        <f t="shared" si="0"/>
        <v>2792.6500000000005</v>
      </c>
      <c r="L26">
        <v>3637.41</v>
      </c>
    </row>
    <row r="27" spans="1:12" x14ac:dyDescent="0.35">
      <c r="A27" s="112" t="s">
        <v>53</v>
      </c>
      <c r="B27" s="112" t="s">
        <v>54</v>
      </c>
      <c r="C27" s="116">
        <v>4350.6400000000003</v>
      </c>
      <c r="D27" s="116">
        <v>1614.05</v>
      </c>
      <c r="E27" s="116">
        <f>SUM(C27:D27)</f>
        <v>5964.6900000000005</v>
      </c>
      <c r="F27" s="116">
        <v>568.28</v>
      </c>
      <c r="G27" s="116">
        <v>35.08</v>
      </c>
      <c r="H27" s="116">
        <v>0</v>
      </c>
      <c r="I27" s="117">
        <v>328.8</v>
      </c>
      <c r="J27" s="118">
        <f t="shared" si="0"/>
        <v>6896.85</v>
      </c>
    </row>
    <row r="28" spans="1:12" x14ac:dyDescent="0.35">
      <c r="A28" s="112" t="s">
        <v>55</v>
      </c>
      <c r="B28" s="112" t="s">
        <v>56</v>
      </c>
      <c r="C28" s="116">
        <v>269.63</v>
      </c>
      <c r="D28" s="116">
        <v>109.04</v>
      </c>
      <c r="E28" s="116">
        <v>383.67</v>
      </c>
      <c r="F28" s="116">
        <v>142.93</v>
      </c>
      <c r="G28" s="116">
        <v>0</v>
      </c>
      <c r="H28" s="116">
        <v>0</v>
      </c>
      <c r="I28" s="117">
        <v>14.83</v>
      </c>
      <c r="J28" s="118">
        <f t="shared" si="0"/>
        <v>541.43000000000006</v>
      </c>
    </row>
    <row r="29" spans="1:12" x14ac:dyDescent="0.35">
      <c r="A29" s="112" t="s">
        <v>57</v>
      </c>
      <c r="B29" s="112" t="s">
        <v>58</v>
      </c>
      <c r="C29" s="116">
        <v>2735.31</v>
      </c>
      <c r="D29" s="116">
        <v>5387.44</v>
      </c>
      <c r="E29" s="116">
        <v>8122.75</v>
      </c>
      <c r="F29" s="116">
        <v>90.8</v>
      </c>
      <c r="G29" s="116">
        <v>205</v>
      </c>
      <c r="H29" s="116">
        <v>0</v>
      </c>
      <c r="I29" s="117">
        <v>756.83</v>
      </c>
      <c r="J29" s="118">
        <f t="shared" si="0"/>
        <v>9175.3799999999992</v>
      </c>
    </row>
    <row r="30" spans="1:12" x14ac:dyDescent="0.35">
      <c r="A30" s="112" t="s">
        <v>59</v>
      </c>
      <c r="B30" s="112" t="s">
        <v>60</v>
      </c>
      <c r="C30" s="116">
        <v>3061.57</v>
      </c>
      <c r="D30" s="116">
        <v>5449.46</v>
      </c>
      <c r="E30" s="116">
        <f>SUM(C30:D30)</f>
        <v>8511.0300000000007</v>
      </c>
      <c r="F30" s="116">
        <v>2265.0100000000002</v>
      </c>
      <c r="G30" s="116">
        <v>300</v>
      </c>
      <c r="H30" s="116">
        <v>0</v>
      </c>
      <c r="I30" s="117">
        <v>257.37</v>
      </c>
      <c r="J30" s="118">
        <f t="shared" si="0"/>
        <v>11333.410000000002</v>
      </c>
    </row>
    <row r="31" spans="1:12" x14ac:dyDescent="0.35">
      <c r="A31" s="112" t="s">
        <v>61</v>
      </c>
      <c r="B31" s="112" t="s">
        <v>62</v>
      </c>
      <c r="C31" s="116">
        <v>186.37</v>
      </c>
      <c r="D31" s="116">
        <v>366.4</v>
      </c>
      <c r="E31" s="116">
        <v>552.77</v>
      </c>
      <c r="F31" s="116">
        <v>18.649999999999999</v>
      </c>
      <c r="G31" s="116">
        <v>39.83</v>
      </c>
      <c r="H31" s="116">
        <v>0</v>
      </c>
      <c r="I31" s="117">
        <v>27.4</v>
      </c>
      <c r="J31" s="118">
        <f t="shared" si="0"/>
        <v>638.65</v>
      </c>
    </row>
    <row r="32" spans="1:12" x14ac:dyDescent="0.35">
      <c r="A32" s="112" t="s">
        <v>63</v>
      </c>
      <c r="B32" s="112" t="s">
        <v>64</v>
      </c>
      <c r="C32" s="116">
        <v>4451.25</v>
      </c>
      <c r="D32" s="116">
        <v>6903.78</v>
      </c>
      <c r="E32" s="116">
        <v>11355.03</v>
      </c>
      <c r="F32" s="116">
        <v>784.49</v>
      </c>
      <c r="G32" s="116">
        <v>8.3800000000000008</v>
      </c>
      <c r="H32" s="116">
        <v>0</v>
      </c>
      <c r="I32" s="117">
        <v>368.49</v>
      </c>
      <c r="J32" s="118">
        <f t="shared" si="0"/>
        <v>12516.39</v>
      </c>
    </row>
    <row r="33" spans="1:10" x14ac:dyDescent="0.35">
      <c r="A33" s="112" t="s">
        <v>65</v>
      </c>
      <c r="B33" s="112" t="s">
        <v>66</v>
      </c>
      <c r="C33" s="116">
        <v>512.88</v>
      </c>
      <c r="D33" s="116">
        <v>1072.57</v>
      </c>
      <c r="E33" s="116">
        <v>1585.45</v>
      </c>
      <c r="F33" s="116">
        <v>176.54</v>
      </c>
      <c r="G33" s="116">
        <v>91.73</v>
      </c>
      <c r="H33" s="116">
        <v>0</v>
      </c>
      <c r="I33" s="117">
        <v>35.630000000000003</v>
      </c>
      <c r="J33" s="118">
        <f t="shared" si="0"/>
        <v>1889.3500000000001</v>
      </c>
    </row>
    <row r="34" spans="1:10" x14ac:dyDescent="0.35">
      <c r="A34" s="112" t="s">
        <v>67</v>
      </c>
      <c r="B34" s="112" t="s">
        <v>68</v>
      </c>
      <c r="C34" s="116">
        <v>1803.91</v>
      </c>
      <c r="D34" s="116">
        <v>1354.32</v>
      </c>
      <c r="E34" s="116">
        <v>3158.23</v>
      </c>
      <c r="F34" s="116">
        <v>53.72</v>
      </c>
      <c r="G34" s="116">
        <v>36.15</v>
      </c>
      <c r="H34" s="116">
        <v>0</v>
      </c>
      <c r="I34" s="117">
        <v>389.31</v>
      </c>
      <c r="J34" s="118">
        <f t="shared" si="0"/>
        <v>3637.41</v>
      </c>
    </row>
    <row r="35" spans="1:10" ht="20.25" x14ac:dyDescent="0.25">
      <c r="A35" s="1"/>
      <c r="B35" s="2"/>
      <c r="C35" s="1"/>
      <c r="D35" s="1"/>
      <c r="E35" s="1"/>
      <c r="F35" s="1"/>
      <c r="G35" s="1"/>
      <c r="H35" s="1"/>
      <c r="I35" s="1"/>
    </row>
  </sheetData>
  <mergeCells count="7">
    <mergeCell ref="A1:J1"/>
    <mergeCell ref="A2:I2"/>
    <mergeCell ref="A3:A5"/>
    <mergeCell ref="B3:B5"/>
    <mergeCell ref="C3:E3"/>
    <mergeCell ref="I3:I5"/>
    <mergeCell ref="C4:E4"/>
  </mergeCells>
  <pageMargins left="0.7" right="0.7" top="0.75" bottom="0.75" header="0.3" footer="0.3"/>
  <pageSetup scale="50" orientation="landscape" r:id="rId1"/>
  <colBreaks count="1" manualBreakCount="1">
    <brk id="10"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B7" zoomScaleNormal="100" workbookViewId="0">
      <selection activeCell="J17" sqref="J17"/>
    </sheetView>
  </sheetViews>
  <sheetFormatPr defaultRowHeight="21" x14ac:dyDescent="0.35"/>
  <cols>
    <col min="2" max="2" width="34.140625" style="3" customWidth="1"/>
    <col min="3" max="3" width="15.28515625" customWidth="1"/>
    <col min="4" max="4" width="20.28515625" customWidth="1"/>
    <col min="5" max="5" width="20.42578125" customWidth="1"/>
    <col min="6" max="6" width="19.42578125" customWidth="1"/>
    <col min="7" max="7" width="21.140625" customWidth="1"/>
    <col min="8" max="8" width="49.85546875" customWidth="1"/>
    <col min="9" max="9" width="19.28515625" customWidth="1"/>
    <col min="10" max="10" width="21" customWidth="1"/>
  </cols>
  <sheetData>
    <row r="1" spans="1:13" ht="18.75" x14ac:dyDescent="0.3">
      <c r="A1" s="210" t="s">
        <v>72</v>
      </c>
      <c r="B1" s="210"/>
      <c r="C1" s="210"/>
      <c r="D1" s="210"/>
      <c r="E1" s="210"/>
      <c r="F1" s="210"/>
      <c r="G1" s="210"/>
      <c r="H1" s="210"/>
      <c r="I1" s="210"/>
      <c r="J1" s="211"/>
    </row>
    <row r="2" spans="1:13" ht="18.75" x14ac:dyDescent="0.3">
      <c r="A2" s="212" t="s">
        <v>0</v>
      </c>
      <c r="B2" s="212"/>
      <c r="C2" s="212"/>
      <c r="D2" s="212"/>
      <c r="E2" s="212"/>
      <c r="F2" s="212"/>
      <c r="G2" s="212"/>
      <c r="H2" s="212"/>
      <c r="I2" s="212"/>
      <c r="J2" s="51"/>
    </row>
    <row r="3" spans="1:13" ht="195.75" customHeight="1" x14ac:dyDescent="0.3">
      <c r="A3" s="213" t="s">
        <v>1</v>
      </c>
      <c r="B3" s="213" t="s">
        <v>2</v>
      </c>
      <c r="C3" s="214" t="s">
        <v>3</v>
      </c>
      <c r="D3" s="214"/>
      <c r="E3" s="214"/>
      <c r="F3" s="16" t="s">
        <v>4</v>
      </c>
      <c r="G3" s="16" t="s">
        <v>5</v>
      </c>
      <c r="H3" s="122" t="s">
        <v>6</v>
      </c>
      <c r="I3" s="210" t="s">
        <v>69</v>
      </c>
      <c r="J3" s="123" t="s">
        <v>70</v>
      </c>
    </row>
    <row r="4" spans="1:13" ht="58.5" customHeight="1" x14ac:dyDescent="0.3">
      <c r="A4" s="213"/>
      <c r="B4" s="213"/>
      <c r="C4" s="214" t="s">
        <v>7</v>
      </c>
      <c r="D4" s="214"/>
      <c r="E4" s="214"/>
      <c r="F4" s="16" t="s">
        <v>7</v>
      </c>
      <c r="G4" s="16" t="s">
        <v>7</v>
      </c>
      <c r="H4" s="16" t="s">
        <v>7</v>
      </c>
      <c r="I4" s="210"/>
      <c r="J4" s="51"/>
    </row>
    <row r="5" spans="1:13" ht="37.5" customHeight="1" x14ac:dyDescent="0.3">
      <c r="A5" s="213"/>
      <c r="B5" s="213"/>
      <c r="C5" s="111" t="s">
        <v>8</v>
      </c>
      <c r="D5" s="16" t="s">
        <v>9</v>
      </c>
      <c r="E5" s="111" t="s">
        <v>10</v>
      </c>
      <c r="F5" s="111" t="s">
        <v>8</v>
      </c>
      <c r="G5" s="111" t="s">
        <v>8</v>
      </c>
      <c r="H5" s="111" t="s">
        <v>8</v>
      </c>
      <c r="I5" s="210"/>
      <c r="J5" s="51"/>
    </row>
    <row r="6" spans="1:13" ht="18.75" x14ac:dyDescent="0.3">
      <c r="A6" s="111" t="s">
        <v>11</v>
      </c>
      <c r="B6" s="111" t="s">
        <v>12</v>
      </c>
      <c r="C6" s="25">
        <v>5012.6099999999997</v>
      </c>
      <c r="D6" s="25">
        <v>0</v>
      </c>
      <c r="E6" s="25">
        <v>5012.6099999999997</v>
      </c>
      <c r="F6" s="25">
        <v>1172.02</v>
      </c>
      <c r="G6" s="25">
        <v>22.94</v>
      </c>
      <c r="H6" s="25">
        <v>0</v>
      </c>
      <c r="I6" s="20">
        <v>1249.03</v>
      </c>
      <c r="J6" s="66">
        <f>E6+F6+G6+H6+I6</f>
        <v>7456.5999999999985</v>
      </c>
      <c r="L6">
        <v>7456.5999999999985</v>
      </c>
    </row>
    <row r="7" spans="1:13" ht="18.75" x14ac:dyDescent="0.3">
      <c r="A7" s="111" t="s">
        <v>13</v>
      </c>
      <c r="B7" s="111" t="s">
        <v>14</v>
      </c>
      <c r="C7" s="25">
        <v>336.84</v>
      </c>
      <c r="D7" s="25">
        <v>216.13</v>
      </c>
      <c r="E7" s="25">
        <f>SUM(C7:D7)</f>
        <v>552.97</v>
      </c>
      <c r="F7" s="25">
        <v>298.87</v>
      </c>
      <c r="G7" s="25">
        <v>2</v>
      </c>
      <c r="H7" s="25">
        <v>0</v>
      </c>
      <c r="I7" s="20">
        <v>183.29</v>
      </c>
      <c r="J7" s="66">
        <f t="shared" ref="J7:J34" si="0">E7+F7+G7+H7+I7</f>
        <v>1037.1300000000001</v>
      </c>
      <c r="L7">
        <v>4465.46</v>
      </c>
      <c r="M7">
        <v>1037.1300000000001</v>
      </c>
    </row>
    <row r="8" spans="1:13" ht="18.75" x14ac:dyDescent="0.3">
      <c r="A8" s="111" t="s">
        <v>15</v>
      </c>
      <c r="B8" s="111" t="s">
        <v>16</v>
      </c>
      <c r="C8" s="25">
        <v>2123.48</v>
      </c>
      <c r="D8" s="25">
        <v>1529.14</v>
      </c>
      <c r="E8" s="25">
        <f>SUM(C8:D8)</f>
        <v>3652.62</v>
      </c>
      <c r="F8" s="25">
        <v>0</v>
      </c>
      <c r="G8" s="25">
        <v>0</v>
      </c>
      <c r="H8" s="25">
        <v>0</v>
      </c>
      <c r="I8" s="20">
        <v>274.45</v>
      </c>
      <c r="J8" s="66">
        <f t="shared" si="0"/>
        <v>3927.0699999999997</v>
      </c>
      <c r="L8">
        <v>3108.49</v>
      </c>
      <c r="M8">
        <v>3927.0699999999997</v>
      </c>
    </row>
    <row r="9" spans="1:13" ht="18.75" x14ac:dyDescent="0.3">
      <c r="A9" s="111" t="s">
        <v>17</v>
      </c>
      <c r="B9" s="111" t="s">
        <v>18</v>
      </c>
      <c r="C9" s="25">
        <v>2708.85</v>
      </c>
      <c r="D9" s="25">
        <v>1151.17</v>
      </c>
      <c r="E9" s="25">
        <v>3860.02</v>
      </c>
      <c r="F9" s="25">
        <v>253.24</v>
      </c>
      <c r="G9" s="25">
        <v>33.49</v>
      </c>
      <c r="H9" s="25">
        <v>0</v>
      </c>
      <c r="I9" s="20">
        <v>318.70999999999998</v>
      </c>
      <c r="J9" s="66">
        <f t="shared" si="0"/>
        <v>4465.46</v>
      </c>
      <c r="L9">
        <v>578.46</v>
      </c>
      <c r="M9">
        <v>477.72</v>
      </c>
    </row>
    <row r="10" spans="1:13" ht="18.75" x14ac:dyDescent="0.3">
      <c r="A10" s="111" t="s">
        <v>19</v>
      </c>
      <c r="B10" s="111" t="s">
        <v>20</v>
      </c>
      <c r="C10" s="25">
        <v>1476.95</v>
      </c>
      <c r="D10" s="25">
        <v>1350.22</v>
      </c>
      <c r="E10" s="25">
        <v>2827.17</v>
      </c>
      <c r="F10" s="25">
        <v>50.58</v>
      </c>
      <c r="G10" s="25">
        <v>66.97</v>
      </c>
      <c r="H10" s="25">
        <v>0</v>
      </c>
      <c r="I10" s="20">
        <v>163.77000000000001</v>
      </c>
      <c r="J10" s="66">
        <f t="shared" si="0"/>
        <v>3108.49</v>
      </c>
      <c r="L10">
        <v>5102.43</v>
      </c>
      <c r="M10">
        <v>671.96690000000001</v>
      </c>
    </row>
    <row r="11" spans="1:13" ht="18.75" x14ac:dyDescent="0.3">
      <c r="A11" s="111" t="s">
        <v>21</v>
      </c>
      <c r="B11" s="111" t="s">
        <v>22</v>
      </c>
      <c r="C11" s="20">
        <v>316.55</v>
      </c>
      <c r="D11" s="20">
        <v>61.94</v>
      </c>
      <c r="E11" s="25">
        <v>378.49</v>
      </c>
      <c r="F11" s="25">
        <v>90.25</v>
      </c>
      <c r="G11" s="25">
        <v>0</v>
      </c>
      <c r="H11" s="25">
        <v>0</v>
      </c>
      <c r="I11" s="20">
        <v>109.72</v>
      </c>
      <c r="J11" s="66">
        <f t="shared" si="0"/>
        <v>578.46</v>
      </c>
      <c r="L11">
        <v>4323.67</v>
      </c>
      <c r="M11">
        <v>648.25000000000011</v>
      </c>
    </row>
    <row r="12" spans="1:13" ht="18.75" x14ac:dyDescent="0.3">
      <c r="A12" s="111" t="s">
        <v>23</v>
      </c>
      <c r="B12" s="111" t="s">
        <v>24</v>
      </c>
      <c r="C12" s="25">
        <v>3422.83</v>
      </c>
      <c r="D12" s="25">
        <v>1065.6199999999999</v>
      </c>
      <c r="E12" s="25">
        <f>SUM(C12:D12)</f>
        <v>4488.45</v>
      </c>
      <c r="F12" s="25">
        <v>8.7100000000000009</v>
      </c>
      <c r="G12" s="25">
        <v>32.97</v>
      </c>
      <c r="H12" s="25">
        <v>0</v>
      </c>
      <c r="I12" s="20">
        <v>572.29999999999995</v>
      </c>
      <c r="J12" s="66">
        <f t="shared" si="0"/>
        <v>5102.43</v>
      </c>
      <c r="L12">
        <v>2550.75</v>
      </c>
      <c r="M12">
        <v>1441.33</v>
      </c>
    </row>
    <row r="13" spans="1:13" ht="18.75" x14ac:dyDescent="0.3">
      <c r="A13" s="111" t="s">
        <v>25</v>
      </c>
      <c r="B13" s="111" t="s">
        <v>26</v>
      </c>
      <c r="C13" s="25">
        <v>2148.85</v>
      </c>
      <c r="D13" s="25">
        <v>951.95</v>
      </c>
      <c r="E13" s="25">
        <v>3100.08</v>
      </c>
      <c r="F13" s="25">
        <v>899.47</v>
      </c>
      <c r="G13" s="25">
        <v>0</v>
      </c>
      <c r="H13" s="25">
        <v>0</v>
      </c>
      <c r="I13" s="20">
        <v>324.12</v>
      </c>
      <c r="J13" s="66">
        <f t="shared" si="0"/>
        <v>4323.67</v>
      </c>
      <c r="L13">
        <v>526.03</v>
      </c>
      <c r="M13">
        <v>522.85</v>
      </c>
    </row>
    <row r="14" spans="1:13" ht="18.75" x14ac:dyDescent="0.3">
      <c r="A14" s="111" t="s">
        <v>27</v>
      </c>
      <c r="B14" s="111" t="s">
        <v>28</v>
      </c>
      <c r="C14" s="25">
        <v>873.26</v>
      </c>
      <c r="D14" s="25">
        <v>1195.3900000000001</v>
      </c>
      <c r="E14" s="25">
        <v>2068.65</v>
      </c>
      <c r="F14" s="25">
        <v>76.75</v>
      </c>
      <c r="G14" s="25">
        <v>122.22</v>
      </c>
      <c r="H14" s="25">
        <v>2</v>
      </c>
      <c r="I14" s="20">
        <v>281.13</v>
      </c>
      <c r="J14" s="66">
        <f t="shared" si="0"/>
        <v>2550.75</v>
      </c>
      <c r="L14">
        <v>2212.8200000000002</v>
      </c>
      <c r="M14">
        <v>654.76999999999987</v>
      </c>
    </row>
    <row r="15" spans="1:13" ht="18.75" x14ac:dyDescent="0.3">
      <c r="A15" s="111" t="s">
        <v>29</v>
      </c>
      <c r="B15" s="111" t="s">
        <v>30</v>
      </c>
      <c r="C15" s="25">
        <v>39.479999999999997</v>
      </c>
      <c r="D15" s="25">
        <v>371.36</v>
      </c>
      <c r="E15" s="25">
        <v>410.84</v>
      </c>
      <c r="F15" s="25">
        <v>0.5</v>
      </c>
      <c r="G15" s="25">
        <v>0</v>
      </c>
      <c r="H15" s="25">
        <v>33.69</v>
      </c>
      <c r="I15" s="20">
        <v>81</v>
      </c>
      <c r="J15" s="66">
        <f t="shared" si="0"/>
        <v>526.03</v>
      </c>
      <c r="L15">
        <v>34767.15</v>
      </c>
    </row>
    <row r="16" spans="1:13" ht="18.75" x14ac:dyDescent="0.3">
      <c r="A16" s="111" t="s">
        <v>31</v>
      </c>
      <c r="B16" s="111" t="s">
        <v>32</v>
      </c>
      <c r="C16" s="25">
        <v>1213.18</v>
      </c>
      <c r="D16" s="25">
        <v>602.78</v>
      </c>
      <c r="E16" s="25">
        <f>SUM(C16:D16)</f>
        <v>1815.96</v>
      </c>
      <c r="F16" s="25">
        <v>48.04</v>
      </c>
      <c r="G16" s="25">
        <v>59.68</v>
      </c>
      <c r="H16" s="25">
        <v>0</v>
      </c>
      <c r="I16" s="20">
        <v>289.14</v>
      </c>
      <c r="J16" s="66">
        <f t="shared" si="0"/>
        <v>2212.8200000000002</v>
      </c>
      <c r="L16">
        <v>6358.21</v>
      </c>
    </row>
    <row r="17" spans="1:12" ht="18.75" x14ac:dyDescent="0.3">
      <c r="A17" s="111" t="s">
        <v>33</v>
      </c>
      <c r="B17" s="111" t="s">
        <v>34</v>
      </c>
      <c r="C17" s="25">
        <v>22075.57</v>
      </c>
      <c r="D17" s="25">
        <v>8445.11</v>
      </c>
      <c r="E17" s="25">
        <f>SUM(C17:D17)</f>
        <v>30520.68</v>
      </c>
      <c r="F17" s="25">
        <v>1506.5</v>
      </c>
      <c r="G17" s="25">
        <v>508.54</v>
      </c>
      <c r="H17" s="25">
        <v>0</v>
      </c>
      <c r="I17" s="20">
        <v>2231.4299999999998</v>
      </c>
      <c r="J17" s="66">
        <f>E17+F17+G17+H17+I17</f>
        <v>34767.15</v>
      </c>
      <c r="L17">
        <v>8967.57</v>
      </c>
    </row>
    <row r="18" spans="1:12" ht="18.75" x14ac:dyDescent="0.3">
      <c r="A18" s="111" t="s">
        <v>35</v>
      </c>
      <c r="B18" s="111" t="s">
        <v>36</v>
      </c>
      <c r="C18" s="25">
        <v>1599.44</v>
      </c>
      <c r="D18" s="25">
        <v>3790.8</v>
      </c>
      <c r="E18" s="25">
        <f>SUM(C18:D18)</f>
        <v>5390.24</v>
      </c>
      <c r="F18" s="25">
        <v>159.03</v>
      </c>
      <c r="G18" s="25">
        <v>32.35</v>
      </c>
      <c r="H18" s="25">
        <v>309.33999999999997</v>
      </c>
      <c r="I18" s="20">
        <v>467.25</v>
      </c>
      <c r="J18" s="66">
        <f t="shared" si="0"/>
        <v>6358.21</v>
      </c>
      <c r="L18">
        <v>19520.989999999998</v>
      </c>
    </row>
    <row r="19" spans="1:12" ht="18.75" x14ac:dyDescent="0.3">
      <c r="A19" s="111" t="s">
        <v>37</v>
      </c>
      <c r="B19" s="111" t="s">
        <v>38</v>
      </c>
      <c r="C19" s="25">
        <v>3937.7</v>
      </c>
      <c r="D19" s="25">
        <v>3501.58</v>
      </c>
      <c r="E19" s="25">
        <v>7439.28</v>
      </c>
      <c r="F19" s="25">
        <v>1129.3399999999999</v>
      </c>
      <c r="G19" s="25">
        <v>0</v>
      </c>
      <c r="H19" s="25">
        <v>0</v>
      </c>
      <c r="I19" s="20">
        <v>398.95</v>
      </c>
      <c r="J19" s="66">
        <f t="shared" si="0"/>
        <v>8967.57</v>
      </c>
      <c r="L19">
        <v>10431.36</v>
      </c>
    </row>
    <row r="20" spans="1:12" ht="18.75" x14ac:dyDescent="0.3">
      <c r="A20" s="111" t="s">
        <v>39</v>
      </c>
      <c r="B20" s="111" t="s">
        <v>40</v>
      </c>
      <c r="C20" s="25">
        <v>7886.72</v>
      </c>
      <c r="D20" s="25">
        <v>6011.21</v>
      </c>
      <c r="E20" s="25">
        <v>13897.93</v>
      </c>
      <c r="F20" s="25">
        <v>1674</v>
      </c>
      <c r="G20" s="25">
        <v>1718.86</v>
      </c>
      <c r="H20" s="25">
        <v>1700.1</v>
      </c>
      <c r="I20" s="20">
        <v>530.1</v>
      </c>
      <c r="J20" s="66">
        <f t="shared" si="0"/>
        <v>19520.989999999998</v>
      </c>
      <c r="L20">
        <v>7034.06</v>
      </c>
    </row>
    <row r="21" spans="1:12" ht="18.75" x14ac:dyDescent="0.3">
      <c r="A21" s="111" t="s">
        <v>41</v>
      </c>
      <c r="B21" s="111" t="s">
        <v>42</v>
      </c>
      <c r="C21" s="25">
        <v>182.09</v>
      </c>
      <c r="D21" s="25">
        <v>200.84</v>
      </c>
      <c r="E21" s="25">
        <v>382.93</v>
      </c>
      <c r="F21" s="25">
        <v>67.150000000000006</v>
      </c>
      <c r="G21" s="25">
        <v>9.67</v>
      </c>
      <c r="H21" s="25">
        <v>0</v>
      </c>
      <c r="I21" s="20">
        <v>17.97</v>
      </c>
      <c r="J21" s="66">
        <f t="shared" si="0"/>
        <v>477.72</v>
      </c>
      <c r="L21">
        <v>6914.35</v>
      </c>
    </row>
    <row r="22" spans="1:12" ht="18.75" x14ac:dyDescent="0.3">
      <c r="A22" s="111" t="s">
        <v>43</v>
      </c>
      <c r="B22" s="111" t="s">
        <v>44</v>
      </c>
      <c r="C22" s="25">
        <v>292.04660000000001</v>
      </c>
      <c r="D22" s="25">
        <v>304.51690000000002</v>
      </c>
      <c r="E22" s="25">
        <f>SUM(C22:D22)</f>
        <v>596.56349999999998</v>
      </c>
      <c r="F22" s="25">
        <v>15.6835</v>
      </c>
      <c r="G22" s="25">
        <v>0</v>
      </c>
      <c r="H22" s="25">
        <v>0</v>
      </c>
      <c r="I22" s="20">
        <v>59.719900000000003</v>
      </c>
      <c r="J22" s="66">
        <f t="shared" si="0"/>
        <v>671.96690000000001</v>
      </c>
      <c r="L22">
        <v>11652.38</v>
      </c>
    </row>
    <row r="23" spans="1:12" ht="18.75" x14ac:dyDescent="0.3">
      <c r="A23" s="111" t="s">
        <v>45</v>
      </c>
      <c r="B23" s="111" t="s">
        <v>46</v>
      </c>
      <c r="C23" s="25">
        <v>302.68</v>
      </c>
      <c r="D23" s="25">
        <v>250.67</v>
      </c>
      <c r="E23" s="25">
        <f>SUM(C23:D23)</f>
        <v>553.35</v>
      </c>
      <c r="F23" s="25">
        <v>5.4</v>
      </c>
      <c r="G23" s="25">
        <v>64.209999999999994</v>
      </c>
      <c r="H23" s="25">
        <v>3.85</v>
      </c>
      <c r="I23" s="20">
        <v>21.44</v>
      </c>
      <c r="J23" s="66">
        <f t="shared" si="0"/>
        <v>648.25000000000011</v>
      </c>
      <c r="L23">
        <v>10003.58</v>
      </c>
    </row>
    <row r="24" spans="1:12" ht="18.75" x14ac:dyDescent="0.3">
      <c r="A24" s="111" t="s">
        <v>47</v>
      </c>
      <c r="B24" s="111" t="s">
        <v>48</v>
      </c>
      <c r="C24" s="25">
        <v>525.54999999999995</v>
      </c>
      <c r="D24" s="25">
        <v>245.68</v>
      </c>
      <c r="E24" s="25">
        <v>771.23</v>
      </c>
      <c r="F24" s="25">
        <v>232.67</v>
      </c>
      <c r="G24" s="25">
        <v>0</v>
      </c>
      <c r="H24" s="25">
        <v>0</v>
      </c>
      <c r="I24" s="20">
        <v>437.43</v>
      </c>
      <c r="J24" s="66">
        <f t="shared" si="0"/>
        <v>1441.33</v>
      </c>
      <c r="L24">
        <v>15287.52</v>
      </c>
    </row>
    <row r="25" spans="1:12" ht="18.75" x14ac:dyDescent="0.3">
      <c r="A25" s="111" t="s">
        <v>49</v>
      </c>
      <c r="B25" s="111" t="s">
        <v>50</v>
      </c>
      <c r="C25" s="25">
        <v>5966.49</v>
      </c>
      <c r="D25" s="25">
        <v>2034.98</v>
      </c>
      <c r="E25" s="25">
        <v>8001.47</v>
      </c>
      <c r="F25" s="25">
        <v>1971.55</v>
      </c>
      <c r="G25" s="25">
        <v>168.17</v>
      </c>
      <c r="H25" s="25">
        <v>13.91</v>
      </c>
      <c r="I25" s="20">
        <v>276.26</v>
      </c>
      <c r="J25" s="66">
        <f t="shared" si="0"/>
        <v>10431.36</v>
      </c>
      <c r="L25">
        <v>2482.0899999999997</v>
      </c>
    </row>
    <row r="26" spans="1:12" ht="18.75" x14ac:dyDescent="0.3">
      <c r="A26" s="111" t="s">
        <v>51</v>
      </c>
      <c r="B26" s="111" t="s">
        <v>52</v>
      </c>
      <c r="C26" s="25">
        <v>1235.71</v>
      </c>
      <c r="D26" s="25">
        <v>5100.13</v>
      </c>
      <c r="E26" s="25">
        <f>SUM(C26:D26)</f>
        <v>6335.84</v>
      </c>
      <c r="F26" s="25">
        <v>500.31</v>
      </c>
      <c r="G26" s="25">
        <v>0</v>
      </c>
      <c r="H26" s="25">
        <v>0</v>
      </c>
      <c r="I26" s="20">
        <v>197.91</v>
      </c>
      <c r="J26" s="66">
        <f t="shared" si="0"/>
        <v>7034.06</v>
      </c>
      <c r="L26">
        <v>5396.83</v>
      </c>
    </row>
    <row r="27" spans="1:12" ht="18.75" x14ac:dyDescent="0.3">
      <c r="A27" s="111" t="s">
        <v>53</v>
      </c>
      <c r="B27" s="111" t="s">
        <v>54</v>
      </c>
      <c r="C27" s="25">
        <v>4119.72</v>
      </c>
      <c r="D27" s="25">
        <v>1676.56</v>
      </c>
      <c r="E27" s="25">
        <f>SUM(C27:D27)</f>
        <v>5796.2800000000007</v>
      </c>
      <c r="F27" s="25">
        <v>674.42</v>
      </c>
      <c r="G27" s="25">
        <v>43.28</v>
      </c>
      <c r="H27" s="25">
        <v>0</v>
      </c>
      <c r="I27" s="20">
        <v>400.37</v>
      </c>
      <c r="J27" s="66">
        <f t="shared" si="0"/>
        <v>6914.35</v>
      </c>
    </row>
    <row r="28" spans="1:12" ht="18.75" x14ac:dyDescent="0.3">
      <c r="A28" s="111" t="s">
        <v>55</v>
      </c>
      <c r="B28" s="111" t="s">
        <v>56</v>
      </c>
      <c r="C28" s="25">
        <v>208.3</v>
      </c>
      <c r="D28" s="25">
        <v>272.79000000000002</v>
      </c>
      <c r="E28" s="25">
        <v>481.09</v>
      </c>
      <c r="F28" s="25">
        <v>21.01</v>
      </c>
      <c r="G28" s="25">
        <v>6.3</v>
      </c>
      <c r="H28" s="25">
        <v>0</v>
      </c>
      <c r="I28" s="20">
        <v>14.45</v>
      </c>
      <c r="J28" s="66">
        <f t="shared" si="0"/>
        <v>522.85</v>
      </c>
    </row>
    <row r="29" spans="1:12" ht="18.75" x14ac:dyDescent="0.3">
      <c r="A29" s="111" t="s">
        <v>57</v>
      </c>
      <c r="B29" s="111" t="s">
        <v>58</v>
      </c>
      <c r="C29" s="25">
        <v>4601.6899999999996</v>
      </c>
      <c r="D29" s="25">
        <v>5827.96</v>
      </c>
      <c r="E29" s="25">
        <v>10429.65</v>
      </c>
      <c r="F29" s="25">
        <v>41.67</v>
      </c>
      <c r="G29" s="25">
        <v>59.49</v>
      </c>
      <c r="H29" s="25">
        <v>0</v>
      </c>
      <c r="I29" s="20">
        <v>1121.57</v>
      </c>
      <c r="J29" s="66">
        <f t="shared" si="0"/>
        <v>11652.38</v>
      </c>
    </row>
    <row r="30" spans="1:12" ht="18.75" x14ac:dyDescent="0.3">
      <c r="A30" s="111" t="s">
        <v>59</v>
      </c>
      <c r="B30" s="111" t="s">
        <v>60</v>
      </c>
      <c r="C30" s="25">
        <v>2575.96</v>
      </c>
      <c r="D30" s="25">
        <v>5856.31</v>
      </c>
      <c r="E30" s="25">
        <f>SUM(C30:D30)</f>
        <v>8432.27</v>
      </c>
      <c r="F30" s="25">
        <v>1213.4000000000001</v>
      </c>
      <c r="G30" s="25">
        <v>125.27</v>
      </c>
      <c r="H30" s="25">
        <v>0</v>
      </c>
      <c r="I30" s="20">
        <v>232.64</v>
      </c>
      <c r="J30" s="66">
        <f t="shared" si="0"/>
        <v>10003.58</v>
      </c>
    </row>
    <row r="31" spans="1:12" ht="18.75" x14ac:dyDescent="0.3">
      <c r="A31" s="111" t="s">
        <v>61</v>
      </c>
      <c r="B31" s="111" t="s">
        <v>62</v>
      </c>
      <c r="C31" s="25">
        <v>181.23</v>
      </c>
      <c r="D31" s="25">
        <v>396.17</v>
      </c>
      <c r="E31" s="25">
        <v>577.4</v>
      </c>
      <c r="F31" s="25">
        <v>19.28</v>
      </c>
      <c r="G31" s="25">
        <v>24.92</v>
      </c>
      <c r="H31" s="25">
        <v>0</v>
      </c>
      <c r="I31" s="20">
        <v>33.17</v>
      </c>
      <c r="J31" s="66">
        <f t="shared" si="0"/>
        <v>654.76999999999987</v>
      </c>
    </row>
    <row r="32" spans="1:12" ht="18.75" x14ac:dyDescent="0.3">
      <c r="A32" s="111" t="s">
        <v>63</v>
      </c>
      <c r="B32" s="111" t="s">
        <v>64</v>
      </c>
      <c r="C32" s="25">
        <v>5079.16</v>
      </c>
      <c r="D32" s="25">
        <v>8646.43</v>
      </c>
      <c r="E32" s="25">
        <v>13725.59</v>
      </c>
      <c r="F32" s="25">
        <v>833.11</v>
      </c>
      <c r="G32" s="25">
        <v>40.94</v>
      </c>
      <c r="H32" s="25">
        <v>0</v>
      </c>
      <c r="I32" s="20">
        <v>687.88</v>
      </c>
      <c r="J32" s="66">
        <f t="shared" si="0"/>
        <v>15287.52</v>
      </c>
    </row>
    <row r="33" spans="1:10" ht="18.75" x14ac:dyDescent="0.3">
      <c r="A33" s="111" t="s">
        <v>65</v>
      </c>
      <c r="B33" s="111" t="s">
        <v>66</v>
      </c>
      <c r="C33" s="25">
        <v>784.05</v>
      </c>
      <c r="D33" s="25">
        <v>1035.04</v>
      </c>
      <c r="E33" s="25">
        <v>1819.09</v>
      </c>
      <c r="F33" s="25">
        <v>92.2</v>
      </c>
      <c r="G33" s="25">
        <v>69.349999999999994</v>
      </c>
      <c r="H33" s="25">
        <v>0</v>
      </c>
      <c r="I33" s="20">
        <v>501.45</v>
      </c>
      <c r="J33" s="66">
        <f t="shared" si="0"/>
        <v>2482.0899999999997</v>
      </c>
    </row>
    <row r="34" spans="1:10" ht="18.75" x14ac:dyDescent="0.3">
      <c r="A34" s="111" t="s">
        <v>67</v>
      </c>
      <c r="B34" s="111" t="s">
        <v>68</v>
      </c>
      <c r="C34" s="25">
        <v>3537.27</v>
      </c>
      <c r="D34" s="25">
        <v>1400.85</v>
      </c>
      <c r="E34" s="25">
        <v>4938.12</v>
      </c>
      <c r="F34" s="25">
        <v>49.07</v>
      </c>
      <c r="G34" s="25">
        <v>10</v>
      </c>
      <c r="H34" s="25">
        <v>0</v>
      </c>
      <c r="I34" s="20">
        <v>399.64</v>
      </c>
      <c r="J34" s="66">
        <f t="shared" si="0"/>
        <v>5396.83</v>
      </c>
    </row>
    <row r="35" spans="1:10" ht="20.25" x14ac:dyDescent="0.25">
      <c r="A35" s="1"/>
      <c r="B35" s="2"/>
      <c r="C35" s="1"/>
      <c r="D35" s="1"/>
      <c r="E35" s="1"/>
      <c r="F35" s="1"/>
      <c r="G35" s="1"/>
      <c r="H35" s="1"/>
      <c r="I35" s="1"/>
    </row>
  </sheetData>
  <mergeCells count="7">
    <mergeCell ref="A1:J1"/>
    <mergeCell ref="A2:I2"/>
    <mergeCell ref="A3:A5"/>
    <mergeCell ref="B3:B5"/>
    <mergeCell ref="C3:E3"/>
    <mergeCell ref="I3:I5"/>
    <mergeCell ref="C4:E4"/>
  </mergeCells>
  <pageMargins left="0.7" right="0.7" top="0.75" bottom="0.75" header="0.3" footer="0.3"/>
  <pageSetup scale="50" orientation="landscape" r:id="rId1"/>
  <colBreaks count="1" manualBreakCount="1">
    <brk id="10"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B10" zoomScaleNormal="100" workbookViewId="0">
      <selection activeCell="J17" sqref="J17"/>
    </sheetView>
  </sheetViews>
  <sheetFormatPr defaultRowHeight="18.75" x14ac:dyDescent="0.3"/>
  <cols>
    <col min="1" max="1" width="9.140625" style="51"/>
    <col min="2" max="2" width="34.140625" style="51" customWidth="1"/>
    <col min="3" max="3" width="15.28515625" style="51" customWidth="1"/>
    <col min="4" max="4" width="20.28515625" style="51" customWidth="1"/>
    <col min="5" max="5" width="20.42578125" style="51" customWidth="1"/>
    <col min="6" max="6" width="19.42578125" style="51" customWidth="1"/>
    <col min="7" max="7" width="21.140625" style="51" customWidth="1"/>
    <col min="8" max="8" width="49.85546875" style="51" customWidth="1"/>
    <col min="9" max="9" width="19.28515625" style="51" customWidth="1"/>
    <col min="10" max="10" width="21" style="51" customWidth="1"/>
    <col min="11" max="11" width="9.140625" style="51"/>
    <col min="12" max="12" width="15" style="51" customWidth="1"/>
    <col min="13" max="13" width="13.140625" style="51" customWidth="1"/>
    <col min="14" max="16384" width="9.140625" style="51"/>
  </cols>
  <sheetData>
    <row r="1" spans="1:13" x14ac:dyDescent="0.3">
      <c r="A1" s="215" t="s">
        <v>73</v>
      </c>
      <c r="B1" s="215"/>
      <c r="C1" s="215"/>
      <c r="D1" s="215"/>
      <c r="E1" s="215"/>
      <c r="F1" s="215"/>
      <c r="G1" s="215"/>
      <c r="H1" s="215"/>
      <c r="I1" s="215"/>
    </row>
    <row r="2" spans="1:13" x14ac:dyDescent="0.3">
      <c r="A2" s="212" t="s">
        <v>0</v>
      </c>
      <c r="B2" s="212"/>
      <c r="C2" s="212"/>
      <c r="D2" s="212"/>
      <c r="E2" s="212"/>
      <c r="F2" s="212"/>
      <c r="G2" s="212"/>
      <c r="H2" s="212"/>
      <c r="I2" s="212"/>
    </row>
    <row r="3" spans="1:13" ht="195.75" customHeight="1" x14ac:dyDescent="0.3">
      <c r="A3" s="213" t="s">
        <v>1</v>
      </c>
      <c r="B3" s="213" t="s">
        <v>2</v>
      </c>
      <c r="C3" s="214" t="s">
        <v>3</v>
      </c>
      <c r="D3" s="214"/>
      <c r="E3" s="214"/>
      <c r="F3" s="16" t="s">
        <v>4</v>
      </c>
      <c r="G3" s="16" t="s">
        <v>5</v>
      </c>
      <c r="H3" s="122" t="s">
        <v>6</v>
      </c>
      <c r="I3" s="210" t="s">
        <v>69</v>
      </c>
      <c r="J3" s="57" t="s">
        <v>70</v>
      </c>
    </row>
    <row r="4" spans="1:13" ht="58.5" customHeight="1" x14ac:dyDescent="0.3">
      <c r="A4" s="213"/>
      <c r="B4" s="213"/>
      <c r="C4" s="214" t="s">
        <v>7</v>
      </c>
      <c r="D4" s="214"/>
      <c r="E4" s="214"/>
      <c r="F4" s="16" t="s">
        <v>7</v>
      </c>
      <c r="G4" s="16" t="s">
        <v>7</v>
      </c>
      <c r="H4" s="16" t="s">
        <v>7</v>
      </c>
      <c r="I4" s="210"/>
    </row>
    <row r="5" spans="1:13" ht="37.5" customHeight="1" x14ac:dyDescent="0.3">
      <c r="A5" s="213"/>
      <c r="B5" s="213"/>
      <c r="C5" s="111" t="s">
        <v>8</v>
      </c>
      <c r="D5" s="16" t="s">
        <v>9</v>
      </c>
      <c r="E5" s="111" t="s">
        <v>10</v>
      </c>
      <c r="F5" s="111" t="s">
        <v>8</v>
      </c>
      <c r="G5" s="111" t="s">
        <v>8</v>
      </c>
      <c r="H5" s="111" t="s">
        <v>8</v>
      </c>
      <c r="I5" s="210"/>
    </row>
    <row r="6" spans="1:13" x14ac:dyDescent="0.3">
      <c r="A6" s="111" t="s">
        <v>11</v>
      </c>
      <c r="B6" s="111" t="s">
        <v>12</v>
      </c>
      <c r="C6" s="25">
        <v>8316.19</v>
      </c>
      <c r="D6" s="25">
        <v>0</v>
      </c>
      <c r="E6" s="25">
        <v>8316.19</v>
      </c>
      <c r="F6" s="25">
        <v>1132.78</v>
      </c>
      <c r="G6" s="25">
        <v>196</v>
      </c>
      <c r="H6" s="25">
        <v>0</v>
      </c>
      <c r="I6" s="20">
        <v>1256.01</v>
      </c>
      <c r="J6" s="66">
        <f>E6+F6+G6+H6+I6</f>
        <v>10900.980000000001</v>
      </c>
      <c r="L6" s="51">
        <v>10900.980000000001</v>
      </c>
    </row>
    <row r="7" spans="1:13" x14ac:dyDescent="0.3">
      <c r="A7" s="111" t="s">
        <v>13</v>
      </c>
      <c r="B7" s="111" t="s">
        <v>14</v>
      </c>
      <c r="C7" s="25">
        <v>166.78</v>
      </c>
      <c r="D7" s="25">
        <v>568.11</v>
      </c>
      <c r="E7" s="25">
        <f>SUM(C7:D7)</f>
        <v>734.89</v>
      </c>
      <c r="F7" s="25">
        <v>0</v>
      </c>
      <c r="G7" s="25">
        <v>0</v>
      </c>
      <c r="H7" s="25">
        <v>0</v>
      </c>
      <c r="I7" s="20">
        <v>0</v>
      </c>
      <c r="J7" s="66">
        <f t="shared" ref="J7:J34" si="0">E7+F7+G7+H7+I7</f>
        <v>734.89</v>
      </c>
      <c r="L7" s="51">
        <v>4145.38</v>
      </c>
      <c r="M7" s="51">
        <v>734.89</v>
      </c>
    </row>
    <row r="8" spans="1:13" x14ac:dyDescent="0.3">
      <c r="A8" s="111" t="s">
        <v>15</v>
      </c>
      <c r="B8" s="111" t="s">
        <v>16</v>
      </c>
      <c r="C8" s="25">
        <v>1447.22</v>
      </c>
      <c r="D8" s="25">
        <v>714.06</v>
      </c>
      <c r="E8" s="25">
        <f>SUM(C8:D8)</f>
        <v>2161.2799999999997</v>
      </c>
      <c r="F8" s="25">
        <v>0</v>
      </c>
      <c r="G8" s="25">
        <v>0</v>
      </c>
      <c r="H8" s="25">
        <v>0</v>
      </c>
      <c r="I8" s="20">
        <v>265.77999999999997</v>
      </c>
      <c r="J8" s="66">
        <f t="shared" si="0"/>
        <v>2427.0599999999995</v>
      </c>
      <c r="L8" s="51">
        <v>4680.0200000000004</v>
      </c>
      <c r="M8" s="51">
        <v>2427.0599999999995</v>
      </c>
    </row>
    <row r="9" spans="1:13" x14ac:dyDescent="0.3">
      <c r="A9" s="111" t="s">
        <v>17</v>
      </c>
      <c r="B9" s="111" t="s">
        <v>18</v>
      </c>
      <c r="C9" s="25">
        <v>2313.6999999999998</v>
      </c>
      <c r="D9" s="25">
        <v>1107.1099999999999</v>
      </c>
      <c r="E9" s="25">
        <v>3420.81</v>
      </c>
      <c r="F9" s="25">
        <v>145.02000000000001</v>
      </c>
      <c r="G9" s="25">
        <v>77.099999999999994</v>
      </c>
      <c r="H9" s="25">
        <v>0</v>
      </c>
      <c r="I9" s="20">
        <v>502.45</v>
      </c>
      <c r="J9" s="66">
        <f t="shared" si="0"/>
        <v>4145.38</v>
      </c>
      <c r="L9" s="51">
        <v>524.31999999999994</v>
      </c>
      <c r="M9" s="51">
        <v>473.96</v>
      </c>
    </row>
    <row r="10" spans="1:13" x14ac:dyDescent="0.3">
      <c r="A10" s="111" t="s">
        <v>19</v>
      </c>
      <c r="B10" s="111" t="s">
        <v>20</v>
      </c>
      <c r="C10" s="25">
        <v>2744.48</v>
      </c>
      <c r="D10" s="25">
        <v>1544.45</v>
      </c>
      <c r="E10" s="25">
        <v>4288.93</v>
      </c>
      <c r="F10" s="25">
        <v>54.74</v>
      </c>
      <c r="G10" s="25">
        <v>129.26</v>
      </c>
      <c r="H10" s="25">
        <v>0</v>
      </c>
      <c r="I10" s="20">
        <v>207.09</v>
      </c>
      <c r="J10" s="66">
        <f t="shared" si="0"/>
        <v>4680.0200000000004</v>
      </c>
      <c r="L10" s="51">
        <v>5955.25</v>
      </c>
      <c r="M10" s="51">
        <v>732.10890000000006</v>
      </c>
    </row>
    <row r="11" spans="1:13" x14ac:dyDescent="0.3">
      <c r="A11" s="111" t="s">
        <v>21</v>
      </c>
      <c r="B11" s="111" t="s">
        <v>22</v>
      </c>
      <c r="C11" s="20">
        <v>321.87</v>
      </c>
      <c r="D11" s="20">
        <v>85.09</v>
      </c>
      <c r="E11" s="25">
        <v>406.96</v>
      </c>
      <c r="F11" s="25">
        <v>19.920000000000002</v>
      </c>
      <c r="G11" s="25">
        <v>0</v>
      </c>
      <c r="H11" s="25">
        <v>0</v>
      </c>
      <c r="I11" s="20">
        <v>97.44</v>
      </c>
      <c r="J11" s="66">
        <f t="shared" si="0"/>
        <v>524.31999999999994</v>
      </c>
      <c r="L11" s="51">
        <v>4398.45</v>
      </c>
      <c r="M11" s="51">
        <v>726.78000000000009</v>
      </c>
    </row>
    <row r="12" spans="1:13" x14ac:dyDescent="0.3">
      <c r="A12" s="111" t="s">
        <v>23</v>
      </c>
      <c r="B12" s="111" t="s">
        <v>24</v>
      </c>
      <c r="C12" s="25">
        <v>3991.08</v>
      </c>
      <c r="D12" s="25">
        <v>1091.71</v>
      </c>
      <c r="E12" s="25">
        <f>SUM(C12:D12)</f>
        <v>5082.79</v>
      </c>
      <c r="F12" s="25">
        <v>8.8699999999999992</v>
      </c>
      <c r="G12" s="25">
        <v>234.62</v>
      </c>
      <c r="H12" s="25">
        <v>0</v>
      </c>
      <c r="I12" s="20">
        <v>628.97</v>
      </c>
      <c r="J12" s="66">
        <f t="shared" si="0"/>
        <v>5955.25</v>
      </c>
      <c r="L12" s="51">
        <v>2699.39</v>
      </c>
      <c r="M12" s="51">
        <v>1390.88</v>
      </c>
    </row>
    <row r="13" spans="1:13" x14ac:dyDescent="0.3">
      <c r="A13" s="111" t="s">
        <v>25</v>
      </c>
      <c r="B13" s="111" t="s">
        <v>26</v>
      </c>
      <c r="C13" s="25">
        <v>2123.4699999999998</v>
      </c>
      <c r="D13" s="25">
        <v>1003.31</v>
      </c>
      <c r="E13" s="25">
        <v>3126.78</v>
      </c>
      <c r="F13" s="25">
        <v>900.12</v>
      </c>
      <c r="G13" s="25">
        <v>0</v>
      </c>
      <c r="H13" s="25">
        <v>0</v>
      </c>
      <c r="I13" s="20">
        <v>371.55</v>
      </c>
      <c r="J13" s="66">
        <f t="shared" si="0"/>
        <v>4398.45</v>
      </c>
      <c r="L13" s="51">
        <v>1295.07</v>
      </c>
      <c r="M13" s="51">
        <v>794.93</v>
      </c>
    </row>
    <row r="14" spans="1:13" x14ac:dyDescent="0.3">
      <c r="A14" s="111" t="s">
        <v>27</v>
      </c>
      <c r="B14" s="111" t="s">
        <v>28</v>
      </c>
      <c r="C14" s="25">
        <v>918.01</v>
      </c>
      <c r="D14" s="25">
        <v>1319.09</v>
      </c>
      <c r="E14" s="25">
        <v>2237.1</v>
      </c>
      <c r="F14" s="25">
        <v>60.89</v>
      </c>
      <c r="G14" s="25">
        <v>103.5</v>
      </c>
      <c r="H14" s="25">
        <v>1.5</v>
      </c>
      <c r="I14" s="20">
        <v>296.39999999999998</v>
      </c>
      <c r="J14" s="66">
        <f t="shared" si="0"/>
        <v>2699.39</v>
      </c>
      <c r="L14" s="51">
        <v>4178.96</v>
      </c>
      <c r="M14" s="51">
        <v>1129.68</v>
      </c>
    </row>
    <row r="15" spans="1:13" x14ac:dyDescent="0.3">
      <c r="A15" s="111" t="s">
        <v>29</v>
      </c>
      <c r="B15" s="111" t="s">
        <v>30</v>
      </c>
      <c r="C15" s="25">
        <v>106.1</v>
      </c>
      <c r="D15" s="25">
        <v>954</v>
      </c>
      <c r="E15" s="25">
        <v>1060.0999999999999</v>
      </c>
      <c r="F15" s="25">
        <v>42.32</v>
      </c>
      <c r="G15" s="25">
        <v>0</v>
      </c>
      <c r="H15" s="25">
        <v>39.4</v>
      </c>
      <c r="I15" s="20">
        <v>153.25</v>
      </c>
      <c r="J15" s="66">
        <f t="shared" si="0"/>
        <v>1295.07</v>
      </c>
      <c r="L15" s="51">
        <v>17977.36</v>
      </c>
    </row>
    <row r="16" spans="1:13" x14ac:dyDescent="0.3">
      <c r="A16" s="111" t="s">
        <v>31</v>
      </c>
      <c r="B16" s="111" t="s">
        <v>32</v>
      </c>
      <c r="C16" s="25">
        <v>2736.02</v>
      </c>
      <c r="D16" s="25">
        <v>572.66999999999996</v>
      </c>
      <c r="E16" s="25">
        <f>SUM(C16:D16)</f>
        <v>3308.69</v>
      </c>
      <c r="F16" s="25">
        <v>395.68</v>
      </c>
      <c r="G16" s="25">
        <v>47</v>
      </c>
      <c r="H16" s="25">
        <v>0</v>
      </c>
      <c r="I16" s="20">
        <v>427.59</v>
      </c>
      <c r="J16" s="66">
        <f t="shared" si="0"/>
        <v>4178.96</v>
      </c>
      <c r="L16" s="51">
        <v>7119.5199999999995</v>
      </c>
    </row>
    <row r="17" spans="1:12" x14ac:dyDescent="0.3">
      <c r="A17" s="111" t="s">
        <v>33</v>
      </c>
      <c r="B17" s="111" t="s">
        <v>34</v>
      </c>
      <c r="C17" s="25">
        <v>8495.9699999999993</v>
      </c>
      <c r="D17" s="25">
        <v>5468.3</v>
      </c>
      <c r="E17" s="25">
        <f>SUM(C17:D17)</f>
        <v>13964.27</v>
      </c>
      <c r="F17" s="25">
        <v>1620.71</v>
      </c>
      <c r="G17" s="25">
        <v>395.97</v>
      </c>
      <c r="H17" s="25">
        <v>0</v>
      </c>
      <c r="I17" s="20">
        <v>1996.41</v>
      </c>
      <c r="J17" s="66">
        <f t="shared" si="0"/>
        <v>17977.36</v>
      </c>
      <c r="L17" s="51">
        <v>11734.29</v>
      </c>
    </row>
    <row r="18" spans="1:12" x14ac:dyDescent="0.3">
      <c r="A18" s="111" t="s">
        <v>35</v>
      </c>
      <c r="B18" s="111" t="s">
        <v>36</v>
      </c>
      <c r="C18" s="25">
        <v>1636.34</v>
      </c>
      <c r="D18" s="25">
        <v>4371.6899999999996</v>
      </c>
      <c r="E18" s="25">
        <f>SUM(C18:D18)</f>
        <v>6008.03</v>
      </c>
      <c r="F18" s="25">
        <v>187.25</v>
      </c>
      <c r="G18" s="25">
        <v>38</v>
      </c>
      <c r="H18" s="25">
        <v>390.34</v>
      </c>
      <c r="I18" s="20">
        <v>495.9</v>
      </c>
      <c r="J18" s="66">
        <f t="shared" si="0"/>
        <v>7119.5199999999995</v>
      </c>
      <c r="L18" s="51">
        <v>21502.13</v>
      </c>
    </row>
    <row r="19" spans="1:12" x14ac:dyDescent="0.3">
      <c r="A19" s="111" t="s">
        <v>37</v>
      </c>
      <c r="B19" s="111" t="s">
        <v>38</v>
      </c>
      <c r="C19" s="51">
        <v>5724.82</v>
      </c>
      <c r="D19" s="51">
        <v>3975.45</v>
      </c>
      <c r="E19" s="51">
        <v>9700.27</v>
      </c>
      <c r="F19" s="51">
        <v>1475.08</v>
      </c>
      <c r="G19" s="51">
        <v>0</v>
      </c>
      <c r="H19" s="51">
        <v>0</v>
      </c>
      <c r="I19" s="51">
        <v>558.94000000000005</v>
      </c>
      <c r="J19" s="66">
        <f t="shared" si="0"/>
        <v>11734.29</v>
      </c>
      <c r="L19" s="51">
        <v>12399.33</v>
      </c>
    </row>
    <row r="20" spans="1:12" x14ac:dyDescent="0.3">
      <c r="A20" s="111" t="s">
        <v>39</v>
      </c>
      <c r="B20" s="111" t="s">
        <v>40</v>
      </c>
      <c r="C20" s="25">
        <v>9651.9500000000007</v>
      </c>
      <c r="D20" s="25">
        <v>6959.34</v>
      </c>
      <c r="E20" s="25">
        <v>16611.29</v>
      </c>
      <c r="F20" s="25">
        <v>1495.3</v>
      </c>
      <c r="G20" s="25">
        <v>1240.07</v>
      </c>
      <c r="H20" s="25">
        <v>1677.89</v>
      </c>
      <c r="I20" s="20">
        <v>477.58</v>
      </c>
      <c r="J20" s="66">
        <f t="shared" si="0"/>
        <v>21502.13</v>
      </c>
      <c r="L20" s="51">
        <v>5680.8</v>
      </c>
    </row>
    <row r="21" spans="1:12" x14ac:dyDescent="0.3">
      <c r="A21" s="111" t="s">
        <v>41</v>
      </c>
      <c r="B21" s="111" t="s">
        <v>42</v>
      </c>
      <c r="C21" s="25">
        <v>151.57</v>
      </c>
      <c r="D21" s="25">
        <v>207.43</v>
      </c>
      <c r="E21" s="25">
        <v>359</v>
      </c>
      <c r="F21" s="25">
        <v>101.33</v>
      </c>
      <c r="G21" s="25">
        <v>0</v>
      </c>
      <c r="H21" s="25">
        <v>0</v>
      </c>
      <c r="I21" s="20">
        <v>13.63</v>
      </c>
      <c r="J21" s="66">
        <f t="shared" si="0"/>
        <v>473.96</v>
      </c>
      <c r="L21" s="51">
        <v>8661.4600000000009</v>
      </c>
    </row>
    <row r="22" spans="1:12" x14ac:dyDescent="0.3">
      <c r="A22" s="111" t="s">
        <v>43</v>
      </c>
      <c r="B22" s="111" t="s">
        <v>44</v>
      </c>
      <c r="C22" s="25">
        <v>305.99130000000002</v>
      </c>
      <c r="D22" s="25">
        <v>328.8263</v>
      </c>
      <c r="E22" s="25">
        <f>SUM(C22:D22)</f>
        <v>634.81760000000008</v>
      </c>
      <c r="F22" s="25">
        <v>54.42</v>
      </c>
      <c r="G22" s="25">
        <v>0</v>
      </c>
      <c r="H22" s="25">
        <v>0</v>
      </c>
      <c r="I22" s="20">
        <v>42.871299999999998</v>
      </c>
      <c r="J22" s="66">
        <f t="shared" si="0"/>
        <v>732.10890000000006</v>
      </c>
      <c r="L22" s="51">
        <v>17619.84</v>
      </c>
    </row>
    <row r="23" spans="1:12" x14ac:dyDescent="0.3">
      <c r="A23" s="111" t="s">
        <v>45</v>
      </c>
      <c r="B23" s="111" t="s">
        <v>46</v>
      </c>
      <c r="C23" s="25">
        <v>330.25</v>
      </c>
      <c r="D23" s="25">
        <v>238.01</v>
      </c>
      <c r="E23" s="25">
        <f>SUM(C23:D23)</f>
        <v>568.26</v>
      </c>
      <c r="F23" s="25">
        <v>11.21</v>
      </c>
      <c r="G23" s="25">
        <v>18.82</v>
      </c>
      <c r="H23" s="25">
        <v>76.91</v>
      </c>
      <c r="I23" s="20">
        <v>51.58</v>
      </c>
      <c r="J23" s="66">
        <f t="shared" si="0"/>
        <v>726.78000000000009</v>
      </c>
      <c r="L23" s="51">
        <v>14211.56</v>
      </c>
    </row>
    <row r="24" spans="1:12" x14ac:dyDescent="0.3">
      <c r="A24" s="111" t="s">
        <v>47</v>
      </c>
      <c r="B24" s="111" t="s">
        <v>48</v>
      </c>
      <c r="C24" s="25">
        <v>581.36</v>
      </c>
      <c r="D24" s="25">
        <v>328.36</v>
      </c>
      <c r="E24" s="25">
        <v>909.72</v>
      </c>
      <c r="F24" s="25">
        <v>232.4</v>
      </c>
      <c r="G24" s="25">
        <v>115.36</v>
      </c>
      <c r="H24" s="25">
        <v>0</v>
      </c>
      <c r="I24" s="20">
        <v>133.4</v>
      </c>
      <c r="J24" s="66">
        <f t="shared" si="0"/>
        <v>1390.88</v>
      </c>
      <c r="L24" s="51">
        <v>21183.82</v>
      </c>
    </row>
    <row r="25" spans="1:12" x14ac:dyDescent="0.3">
      <c r="A25" s="111" t="s">
        <v>49</v>
      </c>
      <c r="B25" s="111" t="s">
        <v>50</v>
      </c>
      <c r="C25" s="25">
        <v>7237.51</v>
      </c>
      <c r="D25" s="25">
        <v>2102.66</v>
      </c>
      <c r="E25" s="25">
        <v>9340.17</v>
      </c>
      <c r="F25" s="25">
        <v>2594.9299999999998</v>
      </c>
      <c r="G25" s="25">
        <v>210.26</v>
      </c>
      <c r="H25" s="25">
        <v>20.170000000000002</v>
      </c>
      <c r="I25" s="20">
        <v>233.8</v>
      </c>
      <c r="J25" s="66">
        <f t="shared" si="0"/>
        <v>12399.33</v>
      </c>
      <c r="L25" s="51">
        <v>1912.22</v>
      </c>
    </row>
    <row r="26" spans="1:12" x14ac:dyDescent="0.3">
      <c r="A26" s="111" t="s">
        <v>51</v>
      </c>
      <c r="B26" s="111" t="s">
        <v>52</v>
      </c>
      <c r="C26" s="25">
        <v>1176.3</v>
      </c>
      <c r="D26" s="25">
        <v>3512.24</v>
      </c>
      <c r="E26" s="25">
        <f>SUM(C26:D26)</f>
        <v>4688.54</v>
      </c>
      <c r="F26" s="25">
        <v>756.24</v>
      </c>
      <c r="G26" s="25">
        <v>0</v>
      </c>
      <c r="H26" s="25">
        <v>0</v>
      </c>
      <c r="I26" s="20">
        <v>236.02</v>
      </c>
      <c r="J26" s="66">
        <f t="shared" si="0"/>
        <v>5680.8</v>
      </c>
      <c r="L26" s="51">
        <v>5288.46</v>
      </c>
    </row>
    <row r="27" spans="1:12" x14ac:dyDescent="0.3">
      <c r="A27" s="111" t="s">
        <v>53</v>
      </c>
      <c r="B27" s="111" t="s">
        <v>54</v>
      </c>
      <c r="C27" s="25">
        <v>5523.5</v>
      </c>
      <c r="D27" s="25">
        <v>1803.12</v>
      </c>
      <c r="E27" s="25">
        <f>SUM(C27:D27)</f>
        <v>7326.62</v>
      </c>
      <c r="F27" s="25">
        <v>713.35</v>
      </c>
      <c r="G27" s="25">
        <v>42.08</v>
      </c>
      <c r="H27" s="25">
        <v>0</v>
      </c>
      <c r="I27" s="20">
        <v>579.41</v>
      </c>
      <c r="J27" s="66">
        <f t="shared" si="0"/>
        <v>8661.4600000000009</v>
      </c>
    </row>
    <row r="28" spans="1:12" x14ac:dyDescent="0.3">
      <c r="A28" s="111" t="s">
        <v>55</v>
      </c>
      <c r="B28" s="111" t="s">
        <v>56</v>
      </c>
      <c r="C28" s="25">
        <v>269.43</v>
      </c>
      <c r="D28" s="25">
        <v>313.42</v>
      </c>
      <c r="E28" s="25">
        <v>582</v>
      </c>
      <c r="F28" s="25">
        <v>152.53</v>
      </c>
      <c r="G28" s="25">
        <v>26</v>
      </c>
      <c r="H28" s="25">
        <v>0</v>
      </c>
      <c r="I28" s="20">
        <v>34.4</v>
      </c>
      <c r="J28" s="66">
        <f t="shared" si="0"/>
        <v>794.93</v>
      </c>
    </row>
    <row r="29" spans="1:12" x14ac:dyDescent="0.3">
      <c r="A29" s="111" t="s">
        <v>57</v>
      </c>
      <c r="B29" s="111" t="s">
        <v>58</v>
      </c>
      <c r="C29" s="25">
        <v>8635.16</v>
      </c>
      <c r="D29" s="25">
        <v>7834.98</v>
      </c>
      <c r="E29" s="25">
        <v>16470.14</v>
      </c>
      <c r="F29" s="25">
        <v>1.3</v>
      </c>
      <c r="G29" s="25">
        <v>149.65</v>
      </c>
      <c r="H29" s="25">
        <v>0</v>
      </c>
      <c r="I29" s="20">
        <v>998.75</v>
      </c>
      <c r="J29" s="66">
        <f t="shared" si="0"/>
        <v>17619.84</v>
      </c>
    </row>
    <row r="30" spans="1:12" x14ac:dyDescent="0.3">
      <c r="A30" s="111" t="s">
        <v>59</v>
      </c>
      <c r="B30" s="111" t="s">
        <v>60</v>
      </c>
      <c r="C30" s="25">
        <v>7329.88</v>
      </c>
      <c r="D30" s="25">
        <v>4878.51</v>
      </c>
      <c r="E30" s="25">
        <f>SUM(C30:D30)</f>
        <v>12208.39</v>
      </c>
      <c r="F30" s="25">
        <v>1721</v>
      </c>
      <c r="G30" s="25">
        <v>0</v>
      </c>
      <c r="H30" s="25">
        <v>0</v>
      </c>
      <c r="I30" s="20">
        <v>282.17</v>
      </c>
      <c r="J30" s="66">
        <f t="shared" si="0"/>
        <v>14211.56</v>
      </c>
    </row>
    <row r="31" spans="1:12" x14ac:dyDescent="0.3">
      <c r="A31" s="111" t="s">
        <v>61</v>
      </c>
      <c r="B31" s="111" t="s">
        <v>62</v>
      </c>
      <c r="C31" s="25">
        <v>507.2</v>
      </c>
      <c r="D31" s="25">
        <v>456.34</v>
      </c>
      <c r="E31" s="25">
        <v>963.54</v>
      </c>
      <c r="F31" s="25">
        <v>61.91</v>
      </c>
      <c r="G31" s="25">
        <v>30</v>
      </c>
      <c r="H31" s="25">
        <v>0</v>
      </c>
      <c r="I31" s="20">
        <v>74.23</v>
      </c>
      <c r="J31" s="66">
        <f t="shared" si="0"/>
        <v>1129.68</v>
      </c>
    </row>
    <row r="32" spans="1:12" x14ac:dyDescent="0.3">
      <c r="A32" s="111" t="s">
        <v>63</v>
      </c>
      <c r="B32" s="111" t="s">
        <v>64</v>
      </c>
      <c r="C32" s="25">
        <v>6732.06</v>
      </c>
      <c r="D32" s="25">
        <v>12291.59</v>
      </c>
      <c r="E32" s="25">
        <v>19023.650000000001</v>
      </c>
      <c r="F32" s="25">
        <v>674.8</v>
      </c>
      <c r="G32" s="25">
        <v>109.95</v>
      </c>
      <c r="H32" s="25">
        <v>0</v>
      </c>
      <c r="I32" s="20">
        <v>1375.42</v>
      </c>
      <c r="J32" s="66">
        <f t="shared" si="0"/>
        <v>21183.82</v>
      </c>
    </row>
    <row r="33" spans="1:10" x14ac:dyDescent="0.3">
      <c r="A33" s="111" t="s">
        <v>65</v>
      </c>
      <c r="B33" s="111" t="s">
        <v>66</v>
      </c>
      <c r="C33" s="25">
        <v>496.1</v>
      </c>
      <c r="D33" s="25">
        <v>875.24</v>
      </c>
      <c r="E33" s="25">
        <v>1371.34</v>
      </c>
      <c r="F33" s="25">
        <v>81.39</v>
      </c>
      <c r="G33" s="25">
        <v>115.45</v>
      </c>
      <c r="H33" s="25">
        <v>0</v>
      </c>
      <c r="I33" s="20">
        <v>344.04</v>
      </c>
      <c r="J33" s="66">
        <f t="shared" si="0"/>
        <v>1912.22</v>
      </c>
    </row>
    <row r="34" spans="1:10" x14ac:dyDescent="0.3">
      <c r="A34" s="111" t="s">
        <v>67</v>
      </c>
      <c r="B34" s="111" t="s">
        <v>68</v>
      </c>
      <c r="C34" s="51">
        <v>3372.47</v>
      </c>
      <c r="D34" s="51">
        <v>1470.86</v>
      </c>
      <c r="E34" s="51">
        <v>4843.33</v>
      </c>
      <c r="F34" s="51">
        <v>29.78</v>
      </c>
      <c r="G34" s="51">
        <v>40.85</v>
      </c>
      <c r="H34" s="51">
        <v>0</v>
      </c>
      <c r="I34" s="51">
        <v>374.5</v>
      </c>
      <c r="J34" s="66">
        <f t="shared" si="0"/>
        <v>5288.46</v>
      </c>
    </row>
    <row r="35" spans="1:10" x14ac:dyDescent="0.3">
      <c r="A35" s="124"/>
      <c r="B35" s="125"/>
      <c r="C35" s="124"/>
      <c r="D35" s="124"/>
      <c r="E35" s="124"/>
      <c r="F35" s="124"/>
      <c r="G35" s="124"/>
      <c r="H35" s="124"/>
      <c r="I35" s="124"/>
    </row>
  </sheetData>
  <mergeCells count="7">
    <mergeCell ref="A1:I1"/>
    <mergeCell ref="A2:I2"/>
    <mergeCell ref="A3:A5"/>
    <mergeCell ref="B3:B5"/>
    <mergeCell ref="C3:E3"/>
    <mergeCell ref="I3:I5"/>
    <mergeCell ref="C4:E4"/>
  </mergeCells>
  <pageMargins left="0.7" right="0.7" top="0.75" bottom="0.75" header="0.3" footer="0.3"/>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4" zoomScaleNormal="100" workbookViewId="0">
      <selection activeCell="G29" sqref="G29:G37"/>
    </sheetView>
  </sheetViews>
  <sheetFormatPr defaultRowHeight="15" x14ac:dyDescent="0.25"/>
  <cols>
    <col min="1" max="1" width="9.140625" style="27"/>
    <col min="2" max="2" width="23.7109375" customWidth="1"/>
    <col min="3" max="3" width="16.42578125" customWidth="1"/>
    <col min="4" max="4" width="13.140625" customWidth="1"/>
    <col min="5" max="5" width="13" customWidth="1"/>
    <col min="6" max="6" width="17.85546875" customWidth="1"/>
    <col min="7" max="7" width="11.140625" customWidth="1"/>
  </cols>
  <sheetData>
    <row r="1" spans="1:8" x14ac:dyDescent="0.25">
      <c r="A1" s="28"/>
      <c r="B1" s="217" t="s">
        <v>74</v>
      </c>
      <c r="C1" s="217"/>
      <c r="D1" s="217"/>
      <c r="E1" s="217"/>
      <c r="F1" s="217"/>
      <c r="G1" s="217"/>
      <c r="H1" s="4"/>
    </row>
    <row r="2" spans="1:8" ht="21.75" customHeight="1" x14ac:dyDescent="0.25">
      <c r="A2" s="28"/>
      <c r="B2" s="217"/>
      <c r="C2" s="217"/>
      <c r="D2" s="217"/>
      <c r="E2" s="217"/>
      <c r="F2" s="217"/>
      <c r="G2" s="217"/>
      <c r="H2" s="4"/>
    </row>
    <row r="3" spans="1:8" ht="15.75" x14ac:dyDescent="0.25">
      <c r="A3" s="28"/>
      <c r="B3" s="41"/>
      <c r="C3" s="41"/>
      <c r="D3" s="41"/>
      <c r="E3" s="41"/>
      <c r="F3" s="41"/>
      <c r="G3" s="28"/>
      <c r="H3" s="4"/>
    </row>
    <row r="4" spans="1:8" x14ac:dyDescent="0.25">
      <c r="A4" s="28"/>
      <c r="B4" s="28"/>
      <c r="C4" s="28"/>
      <c r="D4" s="216" t="s">
        <v>75</v>
      </c>
      <c r="E4" s="216"/>
      <c r="F4" s="28"/>
      <c r="G4" s="28"/>
      <c r="H4" s="4"/>
    </row>
    <row r="5" spans="1:8" ht="63.75" x14ac:dyDescent="0.25">
      <c r="A5" s="28" t="s">
        <v>195</v>
      </c>
      <c r="B5" s="5" t="s">
        <v>76</v>
      </c>
      <c r="C5" s="6" t="s">
        <v>77</v>
      </c>
      <c r="D5" s="6" t="s">
        <v>78</v>
      </c>
      <c r="E5" s="7" t="s">
        <v>79</v>
      </c>
      <c r="F5" s="14" t="s">
        <v>193</v>
      </c>
      <c r="G5" s="14" t="s">
        <v>196</v>
      </c>
      <c r="H5" s="4"/>
    </row>
    <row r="6" spans="1:8" x14ac:dyDescent="0.25">
      <c r="A6" s="28">
        <v>1</v>
      </c>
      <c r="B6" s="8" t="s">
        <v>80</v>
      </c>
      <c r="C6" s="9">
        <v>6236.05</v>
      </c>
      <c r="D6" s="9">
        <v>2926.9919999999997</v>
      </c>
      <c r="E6" s="10">
        <v>3309.0580000000004</v>
      </c>
      <c r="F6" s="11">
        <f>E6/67832*100</f>
        <v>4.8783140700554322</v>
      </c>
      <c r="G6" s="11">
        <f>F6*249.36/100</f>
        <v>12.164563965090226</v>
      </c>
      <c r="H6" s="13"/>
    </row>
    <row r="7" spans="1:8" x14ac:dyDescent="0.25">
      <c r="A7" s="28">
        <v>2</v>
      </c>
      <c r="B7" s="12" t="s">
        <v>83</v>
      </c>
      <c r="C7" s="9">
        <v>5278.3159999999998</v>
      </c>
      <c r="D7" s="9">
        <v>2986.8420000000001</v>
      </c>
      <c r="E7" s="10">
        <v>2291.4739999999997</v>
      </c>
      <c r="F7" s="11">
        <f t="shared" ref="F7:F27" si="0">E7/67832*100</f>
        <v>3.3781607500884534</v>
      </c>
      <c r="G7" s="11">
        <f t="shared" ref="G7:G27" si="1">F7*249.36/100</f>
        <v>8.4237816464205668</v>
      </c>
      <c r="H7" s="13"/>
    </row>
    <row r="8" spans="1:8" x14ac:dyDescent="0.25">
      <c r="A8" s="28">
        <v>3</v>
      </c>
      <c r="B8" s="12" t="s">
        <v>84</v>
      </c>
      <c r="C8" s="9">
        <v>4680.74</v>
      </c>
      <c r="D8" s="9">
        <v>1465.777</v>
      </c>
      <c r="E8" s="10">
        <v>3214.9629999999997</v>
      </c>
      <c r="F8" s="11">
        <f t="shared" si="0"/>
        <v>4.7395963557023233</v>
      </c>
      <c r="G8" s="11">
        <f t="shared" si="1"/>
        <v>11.818657472579314</v>
      </c>
      <c r="H8" s="13"/>
    </row>
    <row r="9" spans="1:8" x14ac:dyDescent="0.25">
      <c r="A9" s="42">
        <v>4</v>
      </c>
      <c r="B9" s="12" t="s">
        <v>85</v>
      </c>
      <c r="C9" s="9">
        <v>129.24299999999999</v>
      </c>
      <c r="D9" s="9">
        <v>38.799999999999997</v>
      </c>
      <c r="E9" s="10">
        <v>90.442999999999998</v>
      </c>
      <c r="F9" s="11">
        <f t="shared" si="0"/>
        <v>0.1333338247434839</v>
      </c>
      <c r="G9" s="11">
        <f t="shared" si="1"/>
        <v>0.33248122538035146</v>
      </c>
      <c r="H9" s="13"/>
    </row>
    <row r="10" spans="1:8" x14ac:dyDescent="0.25">
      <c r="A10" s="42">
        <v>5</v>
      </c>
      <c r="B10" s="12" t="s">
        <v>86</v>
      </c>
      <c r="C10" s="9">
        <v>10301.799999999999</v>
      </c>
      <c r="D10" s="9">
        <v>4233.3</v>
      </c>
      <c r="E10" s="10">
        <v>6068.4999999999991</v>
      </c>
      <c r="F10" s="11">
        <f t="shared" si="0"/>
        <v>8.9463674961669994</v>
      </c>
      <c r="G10" s="11">
        <f t="shared" si="1"/>
        <v>22.308661988442033</v>
      </c>
      <c r="H10" s="13"/>
    </row>
    <row r="11" spans="1:8" x14ac:dyDescent="0.25">
      <c r="A11" s="42">
        <v>6</v>
      </c>
      <c r="B11" s="12" t="s">
        <v>87</v>
      </c>
      <c r="C11" s="9">
        <v>3521.7510000000002</v>
      </c>
      <c r="D11" s="9">
        <v>2973.5709999999999</v>
      </c>
      <c r="E11" s="10">
        <v>548.18000000000029</v>
      </c>
      <c r="F11" s="11">
        <f t="shared" si="0"/>
        <v>0.80814364901521452</v>
      </c>
      <c r="G11" s="11">
        <f t="shared" si="1"/>
        <v>2.0151870031843391</v>
      </c>
      <c r="H11" s="13"/>
    </row>
    <row r="12" spans="1:8" x14ac:dyDescent="0.25">
      <c r="A12" s="42">
        <v>7</v>
      </c>
      <c r="B12" s="12" t="s">
        <v>88</v>
      </c>
      <c r="C12" s="9">
        <v>549.96400000000006</v>
      </c>
      <c r="D12" s="9">
        <v>112.749</v>
      </c>
      <c r="E12" s="10">
        <v>437.21500000000003</v>
      </c>
      <c r="F12" s="11">
        <f t="shared" si="0"/>
        <v>0.6445556669418564</v>
      </c>
      <c r="G12" s="11">
        <f t="shared" si="1"/>
        <v>1.6072640110862133</v>
      </c>
      <c r="H12" s="13"/>
    </row>
    <row r="13" spans="1:8" x14ac:dyDescent="0.25">
      <c r="A13" s="42">
        <v>8</v>
      </c>
      <c r="B13" s="12" t="s">
        <v>89</v>
      </c>
      <c r="C13" s="9">
        <v>758.45500000000004</v>
      </c>
      <c r="D13" s="9">
        <v>330.96105267997251</v>
      </c>
      <c r="E13" s="10">
        <v>427.49394732002753</v>
      </c>
      <c r="F13" s="11">
        <f t="shared" si="0"/>
        <v>0.6302245950584201</v>
      </c>
      <c r="G13" s="11">
        <f t="shared" si="1"/>
        <v>1.5715280502376765</v>
      </c>
      <c r="H13" s="13"/>
    </row>
    <row r="14" spans="1:8" x14ac:dyDescent="0.25">
      <c r="A14" s="42">
        <v>9</v>
      </c>
      <c r="B14" s="12" t="s">
        <v>90</v>
      </c>
      <c r="C14" s="9">
        <v>1384.5150000000001</v>
      </c>
      <c r="D14" s="9">
        <v>206.57900000000001</v>
      </c>
      <c r="E14" s="10">
        <v>1177.9360000000001</v>
      </c>
      <c r="F14" s="11">
        <f t="shared" si="0"/>
        <v>1.736549121358651</v>
      </c>
      <c r="G14" s="11">
        <f t="shared" si="1"/>
        <v>4.3302588890199329</v>
      </c>
      <c r="H14" s="13"/>
    </row>
    <row r="15" spans="1:8" x14ac:dyDescent="0.25">
      <c r="A15" s="42">
        <v>10</v>
      </c>
      <c r="B15" s="12" t="s">
        <v>91</v>
      </c>
      <c r="C15" s="9">
        <v>10043.824000000001</v>
      </c>
      <c r="D15" s="9">
        <v>3588.7069999999999</v>
      </c>
      <c r="E15" s="10">
        <v>6455.1170000000002</v>
      </c>
      <c r="F15" s="11">
        <f t="shared" si="0"/>
        <v>9.5163300507135276</v>
      </c>
      <c r="G15" s="11">
        <f t="shared" si="1"/>
        <v>23.729920614459253</v>
      </c>
      <c r="H15" s="13"/>
    </row>
    <row r="16" spans="1:8" x14ac:dyDescent="0.25">
      <c r="A16" s="42">
        <v>11</v>
      </c>
      <c r="B16" s="12" t="s">
        <v>92</v>
      </c>
      <c r="C16" s="9">
        <v>2042.8810000000001</v>
      </c>
      <c r="D16" s="9">
        <v>414.28199999999998</v>
      </c>
      <c r="E16" s="10">
        <v>1628.5990000000002</v>
      </c>
      <c r="F16" s="11">
        <f t="shared" si="0"/>
        <v>2.4009302394150258</v>
      </c>
      <c r="G16" s="11">
        <f t="shared" si="1"/>
        <v>5.9869596450053084</v>
      </c>
      <c r="H16" s="13"/>
    </row>
    <row r="17" spans="1:8" x14ac:dyDescent="0.25">
      <c r="A17" s="42">
        <v>12</v>
      </c>
      <c r="B17" s="12" t="s">
        <v>93</v>
      </c>
      <c r="C17" s="9">
        <v>15351.251</v>
      </c>
      <c r="D17" s="9">
        <v>9584.0930000000008</v>
      </c>
      <c r="E17" s="10">
        <v>5767.1579999999994</v>
      </c>
      <c r="F17" s="11">
        <f t="shared" si="0"/>
        <v>8.50211994338955</v>
      </c>
      <c r="G17" s="11">
        <f t="shared" si="1"/>
        <v>21.200886290836184</v>
      </c>
      <c r="H17" s="13"/>
    </row>
    <row r="18" spans="1:8" x14ac:dyDescent="0.25">
      <c r="A18" s="42">
        <v>13</v>
      </c>
      <c r="B18" s="12" t="s">
        <v>94</v>
      </c>
      <c r="C18" s="9">
        <v>17344.5</v>
      </c>
      <c r="D18" s="9">
        <v>3243.9676921287546</v>
      </c>
      <c r="E18" s="10">
        <v>14100.532307871246</v>
      </c>
      <c r="F18" s="11">
        <f t="shared" si="0"/>
        <v>20.78743411350284</v>
      </c>
      <c r="G18" s="11">
        <f t="shared" si="1"/>
        <v>51.83554570543069</v>
      </c>
      <c r="H18" s="13"/>
    </row>
    <row r="19" spans="1:8" x14ac:dyDescent="0.25">
      <c r="A19" s="42">
        <v>14</v>
      </c>
      <c r="B19" s="12" t="s">
        <v>99</v>
      </c>
      <c r="C19" s="9">
        <v>4474</v>
      </c>
      <c r="D19" s="9">
        <v>1258.527</v>
      </c>
      <c r="E19" s="10">
        <v>3215.473</v>
      </c>
      <c r="F19" s="11">
        <f t="shared" si="0"/>
        <v>4.7403482132326928</v>
      </c>
      <c r="G19" s="11">
        <f t="shared" si="1"/>
        <v>11.820532304517045</v>
      </c>
      <c r="H19" s="13"/>
    </row>
    <row r="20" spans="1:8" x14ac:dyDescent="0.25">
      <c r="A20" s="42">
        <v>15</v>
      </c>
      <c r="B20" s="12" t="s">
        <v>100</v>
      </c>
      <c r="C20" s="9">
        <v>4118.857</v>
      </c>
      <c r="D20" s="9">
        <v>4118.018</v>
      </c>
      <c r="E20" s="10">
        <v>0.83899999999994179</v>
      </c>
      <c r="F20" s="11">
        <f t="shared" si="0"/>
        <v>1.2368793489797468E-3</v>
      </c>
      <c r="G20" s="11">
        <f t="shared" si="1"/>
        <v>3.0842823446158968E-3</v>
      </c>
      <c r="H20" s="13"/>
    </row>
    <row r="21" spans="1:8" x14ac:dyDescent="0.25">
      <c r="A21" s="42">
        <v>16</v>
      </c>
      <c r="B21" s="12" t="s">
        <v>101</v>
      </c>
      <c r="C21" s="9">
        <v>17521.495999999999</v>
      </c>
      <c r="D21" s="9">
        <v>7881.7100000000009</v>
      </c>
      <c r="E21" s="10">
        <v>9639.7859999999982</v>
      </c>
      <c r="F21" s="11">
        <f t="shared" si="0"/>
        <v>14.211266069111922</v>
      </c>
      <c r="G21" s="11">
        <f t="shared" si="1"/>
        <v>35.437213069937485</v>
      </c>
      <c r="H21" s="13"/>
    </row>
    <row r="22" spans="1:8" x14ac:dyDescent="0.25">
      <c r="A22" s="42">
        <v>17</v>
      </c>
      <c r="B22" s="12" t="s">
        <v>103</v>
      </c>
      <c r="C22" s="9">
        <v>4819.018</v>
      </c>
      <c r="D22" s="9">
        <v>2725.6409999999996</v>
      </c>
      <c r="E22" s="10">
        <v>2093.3770000000004</v>
      </c>
      <c r="F22" s="11">
        <f t="shared" si="0"/>
        <v>3.0861201202972053</v>
      </c>
      <c r="G22" s="11">
        <f t="shared" si="1"/>
        <v>7.6955491319731122</v>
      </c>
      <c r="H22" s="13"/>
    </row>
    <row r="23" spans="1:8" x14ac:dyDescent="0.25">
      <c r="A23" s="42">
        <v>18</v>
      </c>
      <c r="B23" s="12" t="s">
        <v>104</v>
      </c>
      <c r="C23" s="9">
        <v>4376.54</v>
      </c>
      <c r="D23" s="9">
        <v>1726.3030000000001</v>
      </c>
      <c r="E23" s="10">
        <v>2650.2370000000001</v>
      </c>
      <c r="F23" s="11">
        <f t="shared" si="0"/>
        <v>3.9070600896332115</v>
      </c>
      <c r="G23" s="11">
        <f t="shared" si="1"/>
        <v>9.7426450395093767</v>
      </c>
      <c r="H23" s="13"/>
    </row>
    <row r="24" spans="1:8" x14ac:dyDescent="0.25">
      <c r="A24" s="42">
        <v>19</v>
      </c>
      <c r="B24" s="12" t="s">
        <v>106</v>
      </c>
      <c r="C24" s="9">
        <v>700.17100000000005</v>
      </c>
      <c r="D24" s="9">
        <v>329.964</v>
      </c>
      <c r="E24" s="10">
        <v>370.20700000000005</v>
      </c>
      <c r="F24" s="11">
        <f t="shared" si="0"/>
        <v>0.54577043283406068</v>
      </c>
      <c r="G24" s="11">
        <f t="shared" si="1"/>
        <v>1.3609331513150138</v>
      </c>
      <c r="H24" s="13"/>
    </row>
    <row r="25" spans="1:8" x14ac:dyDescent="0.25">
      <c r="A25" s="42">
        <v>20</v>
      </c>
      <c r="B25" s="12" t="s">
        <v>107</v>
      </c>
      <c r="C25" s="9">
        <v>16598.043000000001</v>
      </c>
      <c r="D25" s="9">
        <v>14389.438000000002</v>
      </c>
      <c r="E25" s="10">
        <v>2208.6049999999996</v>
      </c>
      <c r="F25" s="11">
        <f t="shared" si="0"/>
        <v>3.2559927467861773</v>
      </c>
      <c r="G25" s="11">
        <f t="shared" si="1"/>
        <v>8.1191435133860121</v>
      </c>
      <c r="H25" s="13"/>
    </row>
    <row r="26" spans="1:8" x14ac:dyDescent="0.25">
      <c r="A26" s="42">
        <v>21</v>
      </c>
      <c r="B26" s="12" t="s">
        <v>108</v>
      </c>
      <c r="C26" s="9">
        <v>5238.3860000000004</v>
      </c>
      <c r="D26" s="9">
        <v>3101.6006091039549</v>
      </c>
      <c r="E26" s="10">
        <v>2136.7853908960456</v>
      </c>
      <c r="F26" s="11">
        <f t="shared" si="0"/>
        <v>3.150114092015635</v>
      </c>
      <c r="G26" s="11">
        <f t="shared" si="1"/>
        <v>7.8551244998501879</v>
      </c>
      <c r="H26" s="13"/>
    </row>
    <row r="27" spans="1:8" x14ac:dyDescent="0.25">
      <c r="A27" s="28"/>
      <c r="B27" s="47" t="s">
        <v>10</v>
      </c>
      <c r="C27" s="48">
        <f>SUM(C6:C26)</f>
        <v>135469.80100000001</v>
      </c>
      <c r="D27" s="48">
        <f>SUM(D6:D26)</f>
        <v>67637.822353912677</v>
      </c>
      <c r="E27" s="49">
        <f>SUM(E6:E26)</f>
        <v>67831.978646087315</v>
      </c>
      <c r="F27" s="50">
        <f t="shared" si="0"/>
        <v>99.999968519411652</v>
      </c>
      <c r="G27" s="50">
        <f t="shared" si="1"/>
        <v>249.3599215000049</v>
      </c>
      <c r="H27" s="13"/>
    </row>
    <row r="28" spans="1:8" ht="21" x14ac:dyDescent="0.35">
      <c r="A28" s="218" t="s">
        <v>194</v>
      </c>
      <c r="B28" s="219"/>
      <c r="C28" s="219"/>
      <c r="D28" s="219"/>
      <c r="E28" s="219"/>
      <c r="F28" s="219"/>
      <c r="G28" s="219"/>
      <c r="H28" s="4"/>
    </row>
    <row r="29" spans="1:8" x14ac:dyDescent="0.25">
      <c r="A29" s="28">
        <v>1</v>
      </c>
      <c r="B29" s="12" t="s">
        <v>81</v>
      </c>
      <c r="C29" s="9">
        <v>225.16399999999999</v>
      </c>
      <c r="D29" s="9">
        <v>56</v>
      </c>
      <c r="E29" s="10">
        <v>169.16399999999999</v>
      </c>
      <c r="F29" s="43">
        <f>E29/3877*100</f>
        <v>4.363270570028372</v>
      </c>
      <c r="G29" s="43">
        <f>29.42*F29/100</f>
        <v>1.283674201702347</v>
      </c>
    </row>
    <row r="30" spans="1:8" x14ac:dyDescent="0.25">
      <c r="A30" s="28">
        <v>2</v>
      </c>
      <c r="B30" s="12" t="s">
        <v>82</v>
      </c>
      <c r="C30" s="9">
        <v>2827.3240000000001</v>
      </c>
      <c r="D30" s="9">
        <v>295.64800000000002</v>
      </c>
      <c r="E30" s="10">
        <v>2531.6759999999999</v>
      </c>
      <c r="F30" s="43">
        <f t="shared" ref="F30:F36" si="2">E30/3877*100</f>
        <v>65.299871034304871</v>
      </c>
      <c r="G30" s="43">
        <f t="shared" ref="G30:G37" si="3">29.42*F30/100</f>
        <v>19.211222058292496</v>
      </c>
    </row>
    <row r="31" spans="1:8" x14ac:dyDescent="0.25">
      <c r="A31" s="28">
        <v>3</v>
      </c>
      <c r="B31" s="12" t="s">
        <v>95</v>
      </c>
      <c r="C31" s="9">
        <v>382.78000000000003</v>
      </c>
      <c r="D31" s="9">
        <v>69.030884855360171</v>
      </c>
      <c r="E31" s="10">
        <v>313.74911514463986</v>
      </c>
      <c r="F31" s="43">
        <f t="shared" si="2"/>
        <v>8.0925745459024974</v>
      </c>
      <c r="G31" s="43">
        <f t="shared" si="3"/>
        <v>2.380835431404515</v>
      </c>
    </row>
    <row r="32" spans="1:8" x14ac:dyDescent="0.25">
      <c r="A32" s="42">
        <v>4</v>
      </c>
      <c r="B32" s="12" t="s">
        <v>96</v>
      </c>
      <c r="C32" s="9">
        <v>286.19900000000001</v>
      </c>
      <c r="D32" s="9">
        <v>81.025000000000006</v>
      </c>
      <c r="E32" s="10">
        <v>205.17400000000001</v>
      </c>
      <c r="F32" s="43">
        <f t="shared" si="2"/>
        <v>5.2920815063193194</v>
      </c>
      <c r="G32" s="43">
        <f t="shared" si="3"/>
        <v>1.5569303791591438</v>
      </c>
    </row>
    <row r="33" spans="1:7" x14ac:dyDescent="0.25">
      <c r="A33" s="42">
        <v>5</v>
      </c>
      <c r="B33" s="12" t="s">
        <v>97</v>
      </c>
      <c r="C33" s="9">
        <v>144.70099999999999</v>
      </c>
      <c r="D33" s="9">
        <v>16.161999999999999</v>
      </c>
      <c r="E33" s="10">
        <v>128.53899999999999</v>
      </c>
      <c r="F33" s="43">
        <f t="shared" si="2"/>
        <v>3.315424297136961</v>
      </c>
      <c r="G33" s="43">
        <f t="shared" si="3"/>
        <v>0.97539782821769394</v>
      </c>
    </row>
    <row r="34" spans="1:7" x14ac:dyDescent="0.25">
      <c r="A34" s="42">
        <v>6</v>
      </c>
      <c r="B34" s="12" t="s">
        <v>98</v>
      </c>
      <c r="C34" s="9">
        <v>383.851</v>
      </c>
      <c r="D34" s="9">
        <v>96.85</v>
      </c>
      <c r="E34" s="10">
        <v>287.00099999999998</v>
      </c>
      <c r="F34" s="43">
        <f t="shared" si="2"/>
        <v>7.4026566933195763</v>
      </c>
      <c r="G34" s="43">
        <f t="shared" si="3"/>
        <v>2.1778615991746197</v>
      </c>
    </row>
    <row r="35" spans="1:7" x14ac:dyDescent="0.25">
      <c r="A35" s="42">
        <v>7</v>
      </c>
      <c r="B35" s="12" t="s">
        <v>102</v>
      </c>
      <c r="C35" s="9">
        <v>77.2</v>
      </c>
      <c r="D35" s="9">
        <v>12.052483291271443</v>
      </c>
      <c r="E35" s="10">
        <v>65.14751670872856</v>
      </c>
      <c r="F35" s="43">
        <f t="shared" si="2"/>
        <v>1.6803589556030063</v>
      </c>
      <c r="G35" s="43">
        <f t="shared" si="3"/>
        <v>0.49436160473840446</v>
      </c>
    </row>
    <row r="36" spans="1:7" x14ac:dyDescent="0.25">
      <c r="A36" s="42">
        <v>8</v>
      </c>
      <c r="B36" s="12" t="s">
        <v>105</v>
      </c>
      <c r="C36" s="9">
        <v>255.36</v>
      </c>
      <c r="D36" s="9">
        <v>78.718000000000004</v>
      </c>
      <c r="E36" s="10">
        <v>176.642</v>
      </c>
      <c r="F36" s="43">
        <f t="shared" si="2"/>
        <v>4.5561516636574675</v>
      </c>
      <c r="G36" s="43">
        <f t="shared" si="3"/>
        <v>1.340419819448027</v>
      </c>
    </row>
    <row r="37" spans="1:7" x14ac:dyDescent="0.25">
      <c r="A37" s="42"/>
      <c r="B37" s="44" t="s">
        <v>10</v>
      </c>
      <c r="C37" s="45">
        <f>SUM(C29:C36)</f>
        <v>4582.5789999999997</v>
      </c>
      <c r="D37" s="45">
        <f>SUM(D29:D36)</f>
        <v>705.48636814663166</v>
      </c>
      <c r="E37" s="45">
        <f>SUM(E29:E36)</f>
        <v>3877.0926318533689</v>
      </c>
      <c r="F37" s="46">
        <f>SUM(F29:F36)</f>
        <v>100.00238926627208</v>
      </c>
      <c r="G37" s="46">
        <f t="shared" si="3"/>
        <v>29.420702922137249</v>
      </c>
    </row>
    <row r="38" spans="1:7" x14ac:dyDescent="0.25">
      <c r="A38" s="28"/>
      <c r="B38" s="28"/>
      <c r="C38" s="28"/>
      <c r="D38" s="28"/>
      <c r="E38" s="28"/>
      <c r="F38" s="28"/>
      <c r="G38" s="28"/>
    </row>
    <row r="39" spans="1:7" x14ac:dyDescent="0.25">
      <c r="A39" s="28"/>
      <c r="B39" s="12" t="s">
        <v>109</v>
      </c>
      <c r="C39" s="9"/>
      <c r="D39" s="9"/>
      <c r="E39" s="28"/>
      <c r="F39" s="28"/>
      <c r="G39" s="28"/>
    </row>
    <row r="40" spans="1:7" x14ac:dyDescent="0.25">
      <c r="A40" s="28"/>
      <c r="B40" s="12" t="s">
        <v>110</v>
      </c>
      <c r="C40" s="9"/>
      <c r="D40" s="9"/>
      <c r="E40" s="28"/>
      <c r="F40" s="28"/>
      <c r="G40" s="28"/>
    </row>
  </sheetData>
  <mergeCells count="3">
    <mergeCell ref="D4:E4"/>
    <mergeCell ref="B1:G2"/>
    <mergeCell ref="A28:G28"/>
  </mergeCells>
  <pageMargins left="0.7" right="0.7" top="0.75" bottom="0.75" header="0.3" footer="0.3"/>
  <pageSetup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topLeftCell="A13" zoomScaleNormal="100" workbookViewId="0">
      <selection activeCell="H29" sqref="H29:H37"/>
    </sheetView>
  </sheetViews>
  <sheetFormatPr defaultRowHeight="15" x14ac:dyDescent="0.25"/>
  <cols>
    <col min="2" max="2" width="27.85546875" customWidth="1"/>
    <col min="3" max="3" width="17.5703125" customWidth="1"/>
    <col min="4" max="4" width="12.85546875" customWidth="1"/>
    <col min="5" max="5" width="15.140625" customWidth="1"/>
    <col min="6" max="6" width="17.42578125" customWidth="1"/>
    <col min="7" max="7" width="13.85546875" customWidth="1"/>
    <col min="8" max="8" width="13.140625" customWidth="1"/>
  </cols>
  <sheetData>
    <row r="2" spans="1:8" ht="26.25" x14ac:dyDescent="0.25">
      <c r="A2" s="220" t="s">
        <v>201</v>
      </c>
      <c r="B2" s="220"/>
      <c r="C2" s="220"/>
      <c r="D2" s="220"/>
      <c r="E2" s="220"/>
      <c r="F2" s="220"/>
      <c r="G2" s="220"/>
      <c r="H2" s="220"/>
    </row>
    <row r="3" spans="1:8" ht="90" x14ac:dyDescent="0.25">
      <c r="A3" s="15" t="s">
        <v>111</v>
      </c>
      <c r="B3" s="15" t="s">
        <v>2</v>
      </c>
      <c r="C3" s="16" t="s">
        <v>112</v>
      </c>
      <c r="D3" s="16" t="s">
        <v>113</v>
      </c>
      <c r="E3" s="16" t="s">
        <v>197</v>
      </c>
      <c r="F3" s="16" t="s">
        <v>114</v>
      </c>
      <c r="G3" s="16" t="s">
        <v>115</v>
      </c>
      <c r="H3" s="16" t="s">
        <v>198</v>
      </c>
    </row>
    <row r="4" spans="1:8" ht="18" x14ac:dyDescent="0.25">
      <c r="A4" s="17">
        <v>1</v>
      </c>
      <c r="B4" s="17">
        <v>2</v>
      </c>
      <c r="C4" s="17">
        <v>3</v>
      </c>
      <c r="D4" s="17">
        <v>4</v>
      </c>
      <c r="E4" s="17">
        <v>5</v>
      </c>
      <c r="F4" s="17">
        <v>6</v>
      </c>
      <c r="G4" s="17">
        <v>7</v>
      </c>
      <c r="H4" s="17">
        <v>8</v>
      </c>
    </row>
    <row r="5" spans="1:8" ht="18" x14ac:dyDescent="0.25">
      <c r="A5" s="18">
        <v>1</v>
      </c>
      <c r="B5" s="18" t="s">
        <v>116</v>
      </c>
      <c r="C5" s="19">
        <v>3429973</v>
      </c>
      <c r="D5" s="20">
        <f>C5/45859046*100</f>
        <v>7.4793814943293846</v>
      </c>
      <c r="E5" s="20">
        <f>544.02*D5/100</f>
        <v>40.689331205450713</v>
      </c>
      <c r="F5" s="19">
        <v>1417289</v>
      </c>
      <c r="G5" s="20">
        <f>F5/22292577*100</f>
        <v>6.3576723319156869</v>
      </c>
      <c r="H5" s="20">
        <f>283.5*G5/100</f>
        <v>18.024001060980972</v>
      </c>
    </row>
    <row r="6" spans="1:8" ht="18" x14ac:dyDescent="0.25">
      <c r="A6" s="18">
        <v>2</v>
      </c>
      <c r="B6" s="18" t="s">
        <v>18</v>
      </c>
      <c r="C6" s="19">
        <v>3073109</v>
      </c>
      <c r="D6" s="20">
        <f t="shared" ref="D6:D26" si="0">C6/45859046*100</f>
        <v>6.701205690148897</v>
      </c>
      <c r="E6" s="20">
        <f t="shared" ref="E6:E26" si="1">544.02*D6/100</f>
        <v>36.455899195548028</v>
      </c>
      <c r="F6" s="19">
        <v>251749</v>
      </c>
      <c r="G6" s="20">
        <f t="shared" ref="G6:G26" si="2">F6/22292577*100</f>
        <v>1.1292951909507816</v>
      </c>
      <c r="H6" s="20">
        <f t="shared" ref="H6:H26" si="3">283.5*G6/100</f>
        <v>3.2015518663454658</v>
      </c>
    </row>
    <row r="7" spans="1:8" ht="18" x14ac:dyDescent="0.25">
      <c r="A7" s="18">
        <v>3</v>
      </c>
      <c r="B7" s="18" t="s">
        <v>117</v>
      </c>
      <c r="C7" s="19">
        <v>749457</v>
      </c>
      <c r="D7" s="20">
        <f t="shared" si="0"/>
        <v>1.6342620821200686</v>
      </c>
      <c r="E7" s="20">
        <f t="shared" si="1"/>
        <v>8.8907125791495965</v>
      </c>
      <c r="F7" s="19">
        <v>1743277</v>
      </c>
      <c r="G7" s="20">
        <f t="shared" si="2"/>
        <v>7.8199886895086195</v>
      </c>
      <c r="H7" s="20">
        <f t="shared" si="3"/>
        <v>22.169667934756934</v>
      </c>
    </row>
    <row r="8" spans="1:8" ht="18" x14ac:dyDescent="0.25">
      <c r="A8" s="18">
        <v>4</v>
      </c>
      <c r="B8" s="18" t="s">
        <v>22</v>
      </c>
      <c r="C8" s="19">
        <v>5545</v>
      </c>
      <c r="D8" s="20">
        <f t="shared" si="0"/>
        <v>1.2091398499654789E-2</v>
      </c>
      <c r="E8" s="20">
        <f t="shared" si="1"/>
        <v>6.5779626117821982E-2</v>
      </c>
      <c r="F8" s="19">
        <v>32067</v>
      </c>
      <c r="G8" s="20">
        <f t="shared" si="2"/>
        <v>0.14384608831899515</v>
      </c>
      <c r="H8" s="20">
        <f t="shared" si="3"/>
        <v>0.40780366038435129</v>
      </c>
    </row>
    <row r="9" spans="1:8" ht="18" x14ac:dyDescent="0.25">
      <c r="A9" s="18">
        <v>5</v>
      </c>
      <c r="B9" s="18" t="s">
        <v>24</v>
      </c>
      <c r="C9" s="19">
        <v>817281</v>
      </c>
      <c r="D9" s="20">
        <f t="shared" si="0"/>
        <v>1.7821587479163872</v>
      </c>
      <c r="E9" s="20">
        <f t="shared" si="1"/>
        <v>9.695300020414729</v>
      </c>
      <c r="F9" s="19">
        <v>1699510</v>
      </c>
      <c r="G9" s="20">
        <f t="shared" si="2"/>
        <v>7.6236587631838173</v>
      </c>
      <c r="H9" s="20">
        <f t="shared" si="3"/>
        <v>21.613072593626121</v>
      </c>
    </row>
    <row r="10" spans="1:8" ht="18" x14ac:dyDescent="0.25">
      <c r="A10" s="18">
        <v>6</v>
      </c>
      <c r="B10" s="18" t="s">
        <v>26</v>
      </c>
      <c r="C10" s="19">
        <v>992096</v>
      </c>
      <c r="D10" s="20">
        <f t="shared" si="0"/>
        <v>2.1633594383973884</v>
      </c>
      <c r="E10" s="20">
        <f t="shared" si="1"/>
        <v>11.769108016769472</v>
      </c>
      <c r="F10" s="19">
        <v>0</v>
      </c>
      <c r="G10" s="20">
        <f t="shared" si="2"/>
        <v>0</v>
      </c>
      <c r="H10" s="20">
        <f t="shared" si="3"/>
        <v>0</v>
      </c>
    </row>
    <row r="11" spans="1:8" ht="18" x14ac:dyDescent="0.25">
      <c r="A11" s="18">
        <v>7</v>
      </c>
      <c r="B11" s="18" t="s">
        <v>28</v>
      </c>
      <c r="C11" s="19">
        <v>358212</v>
      </c>
      <c r="D11" s="20">
        <f t="shared" si="0"/>
        <v>0.78111524605200033</v>
      </c>
      <c r="E11" s="20">
        <f t="shared" si="1"/>
        <v>4.2494231615720928</v>
      </c>
      <c r="F11" s="19">
        <v>80678</v>
      </c>
      <c r="G11" s="20">
        <f t="shared" si="2"/>
        <v>0.36190522073782677</v>
      </c>
      <c r="H11" s="20">
        <f t="shared" si="3"/>
        <v>1.026001300791739</v>
      </c>
    </row>
    <row r="12" spans="1:8" ht="18" x14ac:dyDescent="0.25">
      <c r="A12" s="18">
        <v>8</v>
      </c>
      <c r="B12" s="18" t="s">
        <v>30</v>
      </c>
      <c r="C12" s="19">
        <v>183020</v>
      </c>
      <c r="D12" s="20">
        <f t="shared" si="0"/>
        <v>0.39909247130871411</v>
      </c>
      <c r="E12" s="20">
        <f t="shared" si="1"/>
        <v>2.1711428624136664</v>
      </c>
      <c r="F12" s="19">
        <v>260401</v>
      </c>
      <c r="G12" s="20">
        <f t="shared" si="2"/>
        <v>1.1681063162863583</v>
      </c>
      <c r="H12" s="20">
        <f t="shared" si="3"/>
        <v>3.3115814066718259</v>
      </c>
    </row>
    <row r="13" spans="1:8" ht="18" x14ac:dyDescent="0.25">
      <c r="A13" s="18">
        <v>9</v>
      </c>
      <c r="B13" s="18" t="s">
        <v>118</v>
      </c>
      <c r="C13" s="19">
        <v>753644</v>
      </c>
      <c r="D13" s="20">
        <f t="shared" si="0"/>
        <v>1.6433922327996096</v>
      </c>
      <c r="E13" s="20">
        <f t="shared" si="1"/>
        <v>8.9403824248764359</v>
      </c>
      <c r="F13" s="19">
        <v>1699215</v>
      </c>
      <c r="G13" s="20">
        <f t="shared" si="2"/>
        <v>7.6223354527383709</v>
      </c>
      <c r="H13" s="20">
        <f t="shared" si="3"/>
        <v>21.60932100851328</v>
      </c>
    </row>
    <row r="14" spans="1:8" ht="18" x14ac:dyDescent="0.25">
      <c r="A14" s="18">
        <v>10</v>
      </c>
      <c r="B14" s="18" t="s">
        <v>34</v>
      </c>
      <c r="C14" s="19">
        <v>2178501</v>
      </c>
      <c r="D14" s="20">
        <f t="shared" si="0"/>
        <v>4.7504280834799744</v>
      </c>
      <c r="E14" s="20">
        <f t="shared" si="1"/>
        <v>25.843278859747755</v>
      </c>
      <c r="F14" s="19">
        <v>875742</v>
      </c>
      <c r="G14" s="20">
        <f t="shared" si="2"/>
        <v>3.9284018173403643</v>
      </c>
      <c r="H14" s="20">
        <f t="shared" si="3"/>
        <v>11.137019152159933</v>
      </c>
    </row>
    <row r="15" spans="1:8" ht="18" x14ac:dyDescent="0.25">
      <c r="A15" s="18">
        <v>11</v>
      </c>
      <c r="B15" s="18" t="s">
        <v>36</v>
      </c>
      <c r="C15" s="19">
        <v>725582</v>
      </c>
      <c r="D15" s="20">
        <f t="shared" si="0"/>
        <v>1.5822003798334576</v>
      </c>
      <c r="E15" s="20">
        <f t="shared" si="1"/>
        <v>8.607486506369975</v>
      </c>
      <c r="F15" s="19">
        <v>119788</v>
      </c>
      <c r="G15" s="20">
        <f t="shared" si="2"/>
        <v>0.53734478521707019</v>
      </c>
      <c r="H15" s="20">
        <f t="shared" si="3"/>
        <v>1.523372466090394</v>
      </c>
    </row>
    <row r="16" spans="1:8" ht="18" x14ac:dyDescent="0.25">
      <c r="A16" s="18">
        <v>12</v>
      </c>
      <c r="B16" s="18" t="s">
        <v>38</v>
      </c>
      <c r="C16" s="19">
        <v>2402342</v>
      </c>
      <c r="D16" s="20">
        <f t="shared" si="0"/>
        <v>5.2385346175757777</v>
      </c>
      <c r="E16" s="20">
        <f t="shared" si="1"/>
        <v>28.498676026535744</v>
      </c>
      <c r="F16" s="19">
        <v>3122061</v>
      </c>
      <c r="G16" s="20">
        <f t="shared" si="2"/>
        <v>14.004935364807755</v>
      </c>
      <c r="H16" s="20">
        <f t="shared" si="3"/>
        <v>39.703991759229986</v>
      </c>
    </row>
    <row r="17" spans="1:8" ht="18" x14ac:dyDescent="0.25">
      <c r="A17" s="18">
        <v>13</v>
      </c>
      <c r="B17" s="18" t="s">
        <v>40</v>
      </c>
      <c r="C17" s="19">
        <v>2898245</v>
      </c>
      <c r="D17" s="20">
        <f t="shared" si="0"/>
        <v>6.3198981505197471</v>
      </c>
      <c r="E17" s="20">
        <f t="shared" si="1"/>
        <v>34.381509918457525</v>
      </c>
      <c r="F17" s="19">
        <v>2156957</v>
      </c>
      <c r="G17" s="20">
        <f t="shared" si="2"/>
        <v>9.6756736558541423</v>
      </c>
      <c r="H17" s="20">
        <f t="shared" si="3"/>
        <v>27.430534814346494</v>
      </c>
    </row>
    <row r="18" spans="1:8" ht="18" x14ac:dyDescent="0.25">
      <c r="A18" s="18">
        <v>14</v>
      </c>
      <c r="B18" s="18" t="s">
        <v>119</v>
      </c>
      <c r="C18" s="19">
        <v>1669787</v>
      </c>
      <c r="D18" s="20">
        <f t="shared" si="0"/>
        <v>3.6411289497823391</v>
      </c>
      <c r="E18" s="20">
        <f t="shared" si="1"/>
        <v>19.808469712605881</v>
      </c>
      <c r="F18" s="19">
        <v>2163110</v>
      </c>
      <c r="G18" s="20">
        <f t="shared" si="2"/>
        <v>9.7032747716874557</v>
      </c>
      <c r="H18" s="20">
        <f t="shared" si="3"/>
        <v>27.508783977733938</v>
      </c>
    </row>
    <row r="19" spans="1:8" ht="18" x14ac:dyDescent="0.25">
      <c r="A19" s="18">
        <v>15</v>
      </c>
      <c r="B19" s="18" t="s">
        <v>120</v>
      </c>
      <c r="C19" s="19">
        <v>1717888</v>
      </c>
      <c r="D19" s="20">
        <f t="shared" si="0"/>
        <v>3.7460177431514823</v>
      </c>
      <c r="E19" s="20">
        <f t="shared" si="1"/>
        <v>20.379085726292693</v>
      </c>
      <c r="F19" s="19">
        <v>0</v>
      </c>
      <c r="G19" s="20">
        <f t="shared" si="2"/>
        <v>0</v>
      </c>
      <c r="H19" s="20">
        <f t="shared" si="3"/>
        <v>0</v>
      </c>
    </row>
    <row r="20" spans="1:8" ht="18" x14ac:dyDescent="0.25">
      <c r="A20" s="18">
        <v>16</v>
      </c>
      <c r="B20" s="18" t="s">
        <v>54</v>
      </c>
      <c r="C20" s="19">
        <v>2279366</v>
      </c>
      <c r="D20" s="20">
        <f t="shared" si="0"/>
        <v>4.970373784051243</v>
      </c>
      <c r="E20" s="20">
        <f t="shared" si="1"/>
        <v>27.039827459995571</v>
      </c>
      <c r="F20" s="19">
        <v>1787715</v>
      </c>
      <c r="G20" s="20">
        <f t="shared" si="2"/>
        <v>8.0193285863720458</v>
      </c>
      <c r="H20" s="20">
        <f t="shared" si="3"/>
        <v>22.734796542364752</v>
      </c>
    </row>
    <row r="21" spans="1:8" ht="18" x14ac:dyDescent="0.25">
      <c r="A21" s="18">
        <v>17</v>
      </c>
      <c r="B21" s="18" t="s">
        <v>58</v>
      </c>
      <c r="C21" s="19">
        <v>3591953</v>
      </c>
      <c r="D21" s="20">
        <f t="shared" si="0"/>
        <v>7.8325942497800751</v>
      </c>
      <c r="E21" s="20">
        <f t="shared" si="1"/>
        <v>42.610879237653563</v>
      </c>
      <c r="F21" s="19">
        <v>196373</v>
      </c>
      <c r="G21" s="20">
        <f t="shared" si="2"/>
        <v>0.8808896342491046</v>
      </c>
      <c r="H21" s="20">
        <f t="shared" si="3"/>
        <v>2.4973221130962115</v>
      </c>
    </row>
    <row r="22" spans="1:8" ht="18" x14ac:dyDescent="0.25">
      <c r="A22" s="18">
        <v>18</v>
      </c>
      <c r="B22" s="18" t="s">
        <v>60</v>
      </c>
      <c r="C22" s="19">
        <v>5433000</v>
      </c>
      <c r="D22" s="20">
        <f t="shared" si="0"/>
        <v>11.847171875315505</v>
      </c>
      <c r="E22" s="20">
        <f t="shared" si="1"/>
        <v>64.450984436091403</v>
      </c>
      <c r="F22" s="19">
        <v>3287000</v>
      </c>
      <c r="G22" s="20">
        <f t="shared" si="2"/>
        <v>14.744818420947926</v>
      </c>
      <c r="H22" s="20">
        <f t="shared" si="3"/>
        <v>41.801560223387369</v>
      </c>
    </row>
    <row r="23" spans="1:8" ht="18" x14ac:dyDescent="0.25">
      <c r="A23" s="18">
        <v>19</v>
      </c>
      <c r="B23" s="18" t="s">
        <v>121</v>
      </c>
      <c r="C23" s="19">
        <v>7375437</v>
      </c>
      <c r="D23" s="20">
        <f t="shared" si="0"/>
        <v>16.082840013723793</v>
      </c>
      <c r="E23" s="20">
        <f t="shared" si="1"/>
        <v>87.493866242660175</v>
      </c>
      <c r="F23" s="19">
        <v>187688</v>
      </c>
      <c r="G23" s="20">
        <f t="shared" si="2"/>
        <v>0.8419304775755625</v>
      </c>
      <c r="H23" s="20">
        <f t="shared" si="3"/>
        <v>2.3868729039267196</v>
      </c>
    </row>
    <row r="24" spans="1:8" ht="18" x14ac:dyDescent="0.25">
      <c r="A24" s="18">
        <v>20</v>
      </c>
      <c r="B24" s="18" t="s">
        <v>122</v>
      </c>
      <c r="C24" s="19">
        <v>363305</v>
      </c>
      <c r="D24" s="20">
        <f t="shared" si="0"/>
        <v>0.79222101567485737</v>
      </c>
      <c r="E24" s="20">
        <f t="shared" si="1"/>
        <v>4.3098407694743592</v>
      </c>
      <c r="F24" s="19">
        <v>51888</v>
      </c>
      <c r="G24" s="20">
        <f t="shared" si="2"/>
        <v>0.23275909285857799</v>
      </c>
      <c r="H24" s="20">
        <f t="shared" si="3"/>
        <v>0.65987202825406854</v>
      </c>
    </row>
    <row r="25" spans="1:8" ht="18" x14ac:dyDescent="0.25">
      <c r="A25" s="18">
        <v>21</v>
      </c>
      <c r="B25" s="18" t="s">
        <v>68</v>
      </c>
      <c r="C25" s="19">
        <v>4861303</v>
      </c>
      <c r="D25" s="20">
        <f t="shared" si="0"/>
        <v>10.600532335539645</v>
      </c>
      <c r="E25" s="20">
        <f t="shared" si="1"/>
        <v>57.669016011802775</v>
      </c>
      <c r="F25" s="19">
        <v>1160069</v>
      </c>
      <c r="G25" s="20">
        <f t="shared" si="2"/>
        <v>5.2038353394495394</v>
      </c>
      <c r="H25" s="20">
        <f t="shared" si="3"/>
        <v>14.752873187339445</v>
      </c>
    </row>
    <row r="26" spans="1:8" ht="18" x14ac:dyDescent="0.25">
      <c r="A26" s="18"/>
      <c r="B26" s="15" t="s">
        <v>10</v>
      </c>
      <c r="C26" s="21">
        <v>45859046</v>
      </c>
      <c r="D26" s="22">
        <f t="shared" si="0"/>
        <v>100</v>
      </c>
      <c r="E26" s="22">
        <f t="shared" si="1"/>
        <v>544.02</v>
      </c>
      <c r="F26" s="21">
        <v>22292577</v>
      </c>
      <c r="G26" s="22">
        <f t="shared" si="2"/>
        <v>100</v>
      </c>
      <c r="H26" s="22">
        <f t="shared" si="3"/>
        <v>283.5</v>
      </c>
    </row>
    <row r="27" spans="1:8" ht="30" x14ac:dyDescent="0.25">
      <c r="A27" s="221" t="s">
        <v>123</v>
      </c>
      <c r="B27" s="222"/>
      <c r="C27" s="222"/>
      <c r="D27" s="222"/>
      <c r="E27" s="222"/>
      <c r="F27" s="222"/>
      <c r="G27" s="222"/>
      <c r="H27" s="223"/>
    </row>
    <row r="28" spans="1:8" ht="90" x14ac:dyDescent="0.25">
      <c r="A28" s="16" t="s">
        <v>111</v>
      </c>
      <c r="B28" s="16" t="s">
        <v>2</v>
      </c>
      <c r="C28" s="23" t="s">
        <v>112</v>
      </c>
      <c r="D28" s="23" t="s">
        <v>113</v>
      </c>
      <c r="E28" s="16" t="s">
        <v>199</v>
      </c>
      <c r="F28" s="23" t="s">
        <v>114</v>
      </c>
      <c r="G28" s="16" t="s">
        <v>115</v>
      </c>
      <c r="H28" s="16" t="s">
        <v>200</v>
      </c>
    </row>
    <row r="29" spans="1:8" ht="18" x14ac:dyDescent="0.25">
      <c r="A29" s="18">
        <v>1</v>
      </c>
      <c r="B29" s="18" t="s">
        <v>14</v>
      </c>
      <c r="C29" s="24">
        <v>6188</v>
      </c>
      <c r="D29" s="25">
        <f>C29/658954*100</f>
        <v>0.93906403178370579</v>
      </c>
      <c r="E29" s="20">
        <f>63.38*D29/100</f>
        <v>0.5951787833445128</v>
      </c>
      <c r="F29" s="24">
        <v>176394</v>
      </c>
      <c r="G29" s="20">
        <f>F29/2452538*100</f>
        <v>7.1923044617453424</v>
      </c>
      <c r="H29" s="20">
        <f>51.5*G29/100</f>
        <v>3.7040367977988513</v>
      </c>
    </row>
    <row r="30" spans="1:8" ht="18" x14ac:dyDescent="0.25">
      <c r="A30" s="18">
        <v>2</v>
      </c>
      <c r="B30" s="18" t="s">
        <v>16</v>
      </c>
      <c r="C30" s="24">
        <v>468568</v>
      </c>
      <c r="D30" s="25">
        <f t="shared" ref="D30:D37" si="4">C30/658954*100</f>
        <v>71.107846678220326</v>
      </c>
      <c r="E30" s="20">
        <f t="shared" ref="E30:E37" si="5">63.38*D30/100</f>
        <v>45.068153224656044</v>
      </c>
      <c r="F30" s="24">
        <v>755194</v>
      </c>
      <c r="G30" s="20">
        <f t="shared" ref="G30:G37" si="6">F30/2452538*100</f>
        <v>30.792346540604061</v>
      </c>
      <c r="H30" s="20">
        <f t="shared" ref="H30:H37" si="7">51.5*G30/100</f>
        <v>15.858058468411091</v>
      </c>
    </row>
    <row r="31" spans="1:8" ht="18" x14ac:dyDescent="0.25">
      <c r="A31" s="18">
        <v>3</v>
      </c>
      <c r="B31" s="18" t="s">
        <v>124</v>
      </c>
      <c r="C31" s="24">
        <v>20349</v>
      </c>
      <c r="D31" s="25">
        <f t="shared" si="4"/>
        <v>3.08807595067334</v>
      </c>
      <c r="E31" s="20">
        <f t="shared" si="5"/>
        <v>1.9572225375367629</v>
      </c>
      <c r="F31" s="24">
        <v>214636</v>
      </c>
      <c r="G31" s="20">
        <f t="shared" si="6"/>
        <v>8.7515871313716644</v>
      </c>
      <c r="H31" s="20">
        <f t="shared" si="7"/>
        <v>4.5070673726564072</v>
      </c>
    </row>
    <row r="32" spans="1:8" ht="18" x14ac:dyDescent="0.25">
      <c r="A32" s="18">
        <v>4</v>
      </c>
      <c r="B32" s="18" t="s">
        <v>125</v>
      </c>
      <c r="C32" s="24">
        <v>3533</v>
      </c>
      <c r="D32" s="25">
        <f t="shared" si="4"/>
        <v>0.53615275117838268</v>
      </c>
      <c r="E32" s="20">
        <f t="shared" si="5"/>
        <v>0.33981361369685892</v>
      </c>
      <c r="F32" s="24">
        <v>460775</v>
      </c>
      <c r="G32" s="20">
        <f t="shared" si="6"/>
        <v>18.787680353984321</v>
      </c>
      <c r="H32" s="20">
        <f t="shared" si="7"/>
        <v>9.6756553823019242</v>
      </c>
    </row>
    <row r="33" spans="1:8" ht="18" x14ac:dyDescent="0.25">
      <c r="A33" s="18">
        <v>5</v>
      </c>
      <c r="B33" s="18" t="s">
        <v>126</v>
      </c>
      <c r="C33" s="24">
        <v>274</v>
      </c>
      <c r="D33" s="25">
        <f t="shared" si="4"/>
        <v>4.1581051181114312E-2</v>
      </c>
      <c r="E33" s="20">
        <f t="shared" si="5"/>
        <v>2.6354070238590252E-2</v>
      </c>
      <c r="F33" s="24">
        <v>209154</v>
      </c>
      <c r="G33" s="20">
        <f t="shared" si="6"/>
        <v>8.5280635814817138</v>
      </c>
      <c r="H33" s="20">
        <f t="shared" si="7"/>
        <v>4.3919527444630821</v>
      </c>
    </row>
    <row r="34" spans="1:8" ht="18" x14ac:dyDescent="0.25">
      <c r="A34" s="18">
        <v>6</v>
      </c>
      <c r="B34" s="18" t="s">
        <v>48</v>
      </c>
      <c r="C34" s="24">
        <v>0</v>
      </c>
      <c r="D34" s="25">
        <f t="shared" si="4"/>
        <v>0</v>
      </c>
      <c r="E34" s="20">
        <f t="shared" si="5"/>
        <v>0</v>
      </c>
      <c r="F34" s="24">
        <v>334967</v>
      </c>
      <c r="G34" s="20">
        <f t="shared" si="6"/>
        <v>13.657973902952778</v>
      </c>
      <c r="H34" s="20">
        <f t="shared" si="7"/>
        <v>7.0338565600206797</v>
      </c>
    </row>
    <row r="35" spans="1:8" ht="18" x14ac:dyDescent="0.25">
      <c r="A35" s="18">
        <v>7</v>
      </c>
      <c r="B35" s="18" t="s">
        <v>127</v>
      </c>
      <c r="C35" s="24">
        <v>5930</v>
      </c>
      <c r="D35" s="25">
        <f t="shared" si="4"/>
        <v>0.89991107118251057</v>
      </c>
      <c r="E35" s="20">
        <f t="shared" si="5"/>
        <v>0.5703636369154752</v>
      </c>
      <c r="F35" s="24">
        <v>44299</v>
      </c>
      <c r="G35" s="20">
        <f t="shared" si="6"/>
        <v>1.8062513200610961</v>
      </c>
      <c r="H35" s="20">
        <f t="shared" si="7"/>
        <v>0.93021942983146444</v>
      </c>
    </row>
    <row r="36" spans="1:8" ht="18" x14ac:dyDescent="0.25">
      <c r="A36" s="18">
        <v>8</v>
      </c>
      <c r="B36" s="18" t="s">
        <v>128</v>
      </c>
      <c r="C36" s="24">
        <v>154112</v>
      </c>
      <c r="D36" s="25">
        <f t="shared" si="4"/>
        <v>23.387368465780618</v>
      </c>
      <c r="E36" s="20">
        <f t="shared" si="5"/>
        <v>14.822914133611757</v>
      </c>
      <c r="F36" s="24">
        <v>257119</v>
      </c>
      <c r="G36" s="20">
        <f t="shared" si="6"/>
        <v>10.483792707799022</v>
      </c>
      <c r="H36" s="20">
        <f t="shared" si="7"/>
        <v>5.3991532445164969</v>
      </c>
    </row>
    <row r="37" spans="1:8" ht="18" x14ac:dyDescent="0.25">
      <c r="A37" s="15"/>
      <c r="B37" s="15" t="s">
        <v>10</v>
      </c>
      <c r="C37" s="26">
        <v>658954</v>
      </c>
      <c r="D37" s="25">
        <f t="shared" si="4"/>
        <v>100</v>
      </c>
      <c r="E37" s="20">
        <f t="shared" si="5"/>
        <v>63.38</v>
      </c>
      <c r="F37" s="26">
        <v>2452538</v>
      </c>
      <c r="G37" s="20">
        <f t="shared" si="6"/>
        <v>100</v>
      </c>
      <c r="H37" s="20">
        <f t="shared" si="7"/>
        <v>51.5</v>
      </c>
    </row>
    <row r="38" spans="1:8" ht="60.75" customHeight="1" x14ac:dyDescent="0.25">
      <c r="A38" s="224" t="s">
        <v>129</v>
      </c>
      <c r="B38" s="224"/>
      <c r="C38" s="224"/>
      <c r="D38" s="224"/>
      <c r="E38" s="224"/>
      <c r="F38" s="224"/>
      <c r="G38" s="224"/>
      <c r="H38" s="224"/>
    </row>
  </sheetData>
  <mergeCells count="3">
    <mergeCell ref="A2:H2"/>
    <mergeCell ref="A27:H27"/>
    <mergeCell ref="A38:H38"/>
  </mergeCells>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R15" sqref="R15"/>
    </sheetView>
  </sheetViews>
  <sheetFormatPr defaultRowHeight="15" x14ac:dyDescent="0.25"/>
  <cols>
    <col min="1" max="1" width="9.28515625" style="27" bestFit="1" customWidth="1"/>
    <col min="2" max="2" width="18.5703125" style="27" customWidth="1"/>
    <col min="3" max="3" width="17.28515625" style="27" customWidth="1"/>
    <col min="4" max="4" width="17.7109375" style="27" customWidth="1"/>
    <col min="5" max="5" width="18" style="27" customWidth="1"/>
    <col min="6" max="6" width="14.140625" style="27" customWidth="1"/>
    <col min="7" max="7" width="16.85546875" style="27" customWidth="1"/>
    <col min="8" max="8" width="9.7109375" style="27" bestFit="1" customWidth="1"/>
    <col min="9" max="9" width="12" style="27" customWidth="1"/>
    <col min="10" max="16384" width="9.140625" style="27"/>
  </cols>
  <sheetData>
    <row r="1" spans="1:9" ht="47.25" x14ac:dyDescent="0.25">
      <c r="A1" s="226" t="s">
        <v>130</v>
      </c>
      <c r="B1" s="226" t="s">
        <v>2</v>
      </c>
      <c r="C1" s="227" t="s">
        <v>208</v>
      </c>
      <c r="D1" s="227"/>
      <c r="E1" s="227"/>
      <c r="F1" s="226" t="s">
        <v>209</v>
      </c>
      <c r="G1" s="226" t="s">
        <v>210</v>
      </c>
      <c r="H1" s="126" t="s">
        <v>137</v>
      </c>
      <c r="I1" s="75" t="s">
        <v>227</v>
      </c>
    </row>
    <row r="2" spans="1:9" ht="15.75" x14ac:dyDescent="0.25">
      <c r="A2" s="226"/>
      <c r="B2" s="226"/>
      <c r="C2" s="72" t="s">
        <v>211</v>
      </c>
      <c r="D2" s="126" t="s">
        <v>212</v>
      </c>
      <c r="E2" s="126" t="s">
        <v>213</v>
      </c>
      <c r="F2" s="226"/>
      <c r="G2" s="226"/>
      <c r="H2" s="128"/>
      <c r="I2" s="128"/>
    </row>
    <row r="3" spans="1:9" ht="15.75" x14ac:dyDescent="0.25">
      <c r="A3" s="127">
        <v>1</v>
      </c>
      <c r="B3" s="128" t="s">
        <v>12</v>
      </c>
      <c r="C3" s="127">
        <v>10835268</v>
      </c>
      <c r="D3" s="128">
        <v>11259968</v>
      </c>
      <c r="E3" s="128">
        <v>12175319</v>
      </c>
      <c r="F3" s="128">
        <f>SUM(C3:E3)</f>
        <v>34270555</v>
      </c>
      <c r="G3" s="128">
        <f>AVERAGE(C3:E3)</f>
        <v>11423518.333333334</v>
      </c>
      <c r="H3" s="133">
        <f>G3/150643783*100</f>
        <v>7.5831329417247408</v>
      </c>
      <c r="I3" s="133">
        <f>H3*332.48/100</f>
        <v>25.21240040464642</v>
      </c>
    </row>
    <row r="4" spans="1:9" ht="15.75" x14ac:dyDescent="0.25">
      <c r="A4" s="127">
        <v>2</v>
      </c>
      <c r="B4" s="128" t="s">
        <v>18</v>
      </c>
      <c r="C4" s="127">
        <v>5951631</v>
      </c>
      <c r="D4" s="128">
        <v>5934907</v>
      </c>
      <c r="E4" s="128">
        <v>6093511</v>
      </c>
      <c r="F4" s="128">
        <f t="shared" ref="F4:F23" si="0">SUM(C4:E4)</f>
        <v>17980049</v>
      </c>
      <c r="G4" s="128">
        <f t="shared" ref="G4:G23" si="1">AVERAGE(C4:E4)</f>
        <v>5993349.666666667</v>
      </c>
      <c r="H4" s="133">
        <f t="shared" ref="H4:H24" si="2">G4/150643783*100</f>
        <v>3.9784912110622366</v>
      </c>
      <c r="I4" s="133">
        <f t="shared" ref="I4:I24" si="3">H4*332.48/100</f>
        <v>13.227687578539726</v>
      </c>
    </row>
    <row r="5" spans="1:9" ht="15.75" x14ac:dyDescent="0.25">
      <c r="A5" s="127">
        <v>3</v>
      </c>
      <c r="B5" s="128" t="s">
        <v>32</v>
      </c>
      <c r="C5" s="127">
        <v>2321295</v>
      </c>
      <c r="D5" s="128">
        <v>3033187</v>
      </c>
      <c r="E5" s="128">
        <v>2249759</v>
      </c>
      <c r="F5" s="128">
        <f t="shared" si="0"/>
        <v>7604241</v>
      </c>
      <c r="G5" s="128">
        <f t="shared" si="1"/>
        <v>2534747</v>
      </c>
      <c r="H5" s="133">
        <f t="shared" si="2"/>
        <v>1.6826097629266255</v>
      </c>
      <c r="I5" s="133">
        <f t="shared" si="3"/>
        <v>5.5943409397784443</v>
      </c>
    </row>
    <row r="6" spans="1:9" ht="15.75" x14ac:dyDescent="0.25">
      <c r="A6" s="127">
        <v>4</v>
      </c>
      <c r="B6" s="128" t="s">
        <v>22</v>
      </c>
      <c r="C6" s="127">
        <v>222419</v>
      </c>
      <c r="D6" s="128">
        <v>222662</v>
      </c>
      <c r="E6" s="128">
        <v>224343</v>
      </c>
      <c r="F6" s="128">
        <f t="shared" si="0"/>
        <v>669424</v>
      </c>
      <c r="G6" s="128">
        <f t="shared" si="1"/>
        <v>223141.33333333334</v>
      </c>
      <c r="H6" s="133">
        <f t="shared" si="2"/>
        <v>0.14812515252178271</v>
      </c>
      <c r="I6" s="133">
        <f t="shared" si="3"/>
        <v>0.49248650710442321</v>
      </c>
    </row>
    <row r="7" spans="1:9" ht="15.75" x14ac:dyDescent="0.25">
      <c r="A7" s="127">
        <v>5</v>
      </c>
      <c r="B7" s="128" t="s">
        <v>24</v>
      </c>
      <c r="C7" s="127">
        <v>11713736</v>
      </c>
      <c r="D7" s="128">
        <v>11714466</v>
      </c>
      <c r="E7" s="128">
        <v>11347480</v>
      </c>
      <c r="F7" s="128">
        <f t="shared" si="0"/>
        <v>34775682</v>
      </c>
      <c r="G7" s="128">
        <f t="shared" si="1"/>
        <v>11591894</v>
      </c>
      <c r="H7" s="133">
        <f t="shared" si="2"/>
        <v>7.6949036788328664</v>
      </c>
      <c r="I7" s="133">
        <f t="shared" si="3"/>
        <v>25.584015751383518</v>
      </c>
    </row>
    <row r="8" spans="1:9" ht="15.75" x14ac:dyDescent="0.25">
      <c r="A8" s="127">
        <v>6</v>
      </c>
      <c r="B8" s="128" t="s">
        <v>26</v>
      </c>
      <c r="C8" s="127">
        <v>6502514</v>
      </c>
      <c r="D8" s="128">
        <v>6377952</v>
      </c>
      <c r="E8" s="128">
        <v>6562812</v>
      </c>
      <c r="F8" s="128">
        <f t="shared" si="0"/>
        <v>19443278</v>
      </c>
      <c r="G8" s="128">
        <f t="shared" si="1"/>
        <v>6481092.666666667</v>
      </c>
      <c r="H8" s="133">
        <f t="shared" si="2"/>
        <v>4.302263616591909</v>
      </c>
      <c r="I8" s="133">
        <f t="shared" si="3"/>
        <v>14.304166072444779</v>
      </c>
    </row>
    <row r="9" spans="1:9" ht="15.75" x14ac:dyDescent="0.25">
      <c r="A9" s="127">
        <v>7</v>
      </c>
      <c r="B9" s="128" t="s">
        <v>28</v>
      </c>
      <c r="C9" s="127">
        <v>1371209</v>
      </c>
      <c r="D9" s="128">
        <v>1326899</v>
      </c>
      <c r="E9" s="128">
        <v>1377823</v>
      </c>
      <c r="F9" s="128">
        <f t="shared" si="0"/>
        <v>4075931</v>
      </c>
      <c r="G9" s="128">
        <f t="shared" si="1"/>
        <v>1358643.6666666667</v>
      </c>
      <c r="H9" s="133">
        <f t="shared" si="2"/>
        <v>0.90189162779234433</v>
      </c>
      <c r="I9" s="133">
        <f t="shared" si="3"/>
        <v>2.9986092840839866</v>
      </c>
    </row>
    <row r="10" spans="1:9" ht="15.75" x14ac:dyDescent="0.25">
      <c r="A10" s="127">
        <v>8</v>
      </c>
      <c r="B10" s="128" t="s">
        <v>30</v>
      </c>
      <c r="C10" s="127">
        <v>1300874</v>
      </c>
      <c r="D10" s="128">
        <v>1158897</v>
      </c>
      <c r="E10" s="128">
        <v>1447376</v>
      </c>
      <c r="F10" s="128">
        <f t="shared" si="0"/>
        <v>3907147</v>
      </c>
      <c r="G10" s="128">
        <f t="shared" si="1"/>
        <v>1302382.3333333333</v>
      </c>
      <c r="H10" s="133">
        <f t="shared" si="2"/>
        <v>0.86454436246687538</v>
      </c>
      <c r="I10" s="133">
        <f t="shared" si="3"/>
        <v>2.8744370963298671</v>
      </c>
    </row>
    <row r="11" spans="1:9" ht="15.75" x14ac:dyDescent="0.25">
      <c r="A11" s="127">
        <v>9</v>
      </c>
      <c r="B11" s="128" t="s">
        <v>34</v>
      </c>
      <c r="C11" s="127">
        <v>7687489</v>
      </c>
      <c r="D11" s="128">
        <v>8013607</v>
      </c>
      <c r="E11" s="128">
        <v>7113849</v>
      </c>
      <c r="F11" s="128">
        <f t="shared" si="0"/>
        <v>22814945</v>
      </c>
      <c r="G11" s="128">
        <f t="shared" si="1"/>
        <v>7604981.666666667</v>
      </c>
      <c r="H11" s="133">
        <f t="shared" si="2"/>
        <v>5.0483209563760543</v>
      </c>
      <c r="I11" s="133">
        <f t="shared" si="3"/>
        <v>16.784657515759108</v>
      </c>
    </row>
    <row r="12" spans="1:9" ht="15.75" x14ac:dyDescent="0.25">
      <c r="A12" s="127">
        <v>10</v>
      </c>
      <c r="B12" s="128" t="s">
        <v>36</v>
      </c>
      <c r="C12" s="127">
        <v>4597159</v>
      </c>
      <c r="D12" s="128">
        <v>4598265</v>
      </c>
      <c r="E12" s="128">
        <v>4367362</v>
      </c>
      <c r="F12" s="128">
        <f t="shared" si="0"/>
        <v>13562786</v>
      </c>
      <c r="G12" s="128">
        <f t="shared" si="1"/>
        <v>4520928.666666667</v>
      </c>
      <c r="H12" s="133">
        <f t="shared" si="2"/>
        <v>3.0010721827575635</v>
      </c>
      <c r="I12" s="133">
        <f t="shared" si="3"/>
        <v>9.9779647932323474</v>
      </c>
    </row>
    <row r="13" spans="1:9" ht="15.75" x14ac:dyDescent="0.25">
      <c r="A13" s="127">
        <v>11</v>
      </c>
      <c r="B13" s="128" t="s">
        <v>38</v>
      </c>
      <c r="C13" s="127">
        <v>11320844</v>
      </c>
      <c r="D13" s="128">
        <v>12025714</v>
      </c>
      <c r="E13" s="128">
        <v>11929914</v>
      </c>
      <c r="F13" s="128">
        <f t="shared" si="0"/>
        <v>35276472</v>
      </c>
      <c r="G13" s="128">
        <f t="shared" si="1"/>
        <v>11758824</v>
      </c>
      <c r="H13" s="133">
        <f t="shared" si="2"/>
        <v>7.8057147569110104</v>
      </c>
      <c r="I13" s="133">
        <f t="shared" si="3"/>
        <v>25.95244042377773</v>
      </c>
    </row>
    <row r="14" spans="1:9" ht="15.75" x14ac:dyDescent="0.25">
      <c r="A14" s="127">
        <v>12</v>
      </c>
      <c r="B14" s="128" t="s">
        <v>20</v>
      </c>
      <c r="C14" s="129">
        <v>2930967</v>
      </c>
      <c r="D14" s="130">
        <v>3010401</v>
      </c>
      <c r="E14" s="130">
        <v>3038667</v>
      </c>
      <c r="F14" s="128">
        <f t="shared" si="0"/>
        <v>8980035</v>
      </c>
      <c r="G14" s="128">
        <f t="shared" si="1"/>
        <v>2993345</v>
      </c>
      <c r="H14" s="133">
        <f t="shared" si="2"/>
        <v>1.9870352034375027</v>
      </c>
      <c r="I14" s="133">
        <f t="shared" si="3"/>
        <v>6.6064946443890094</v>
      </c>
    </row>
    <row r="15" spans="1:9" ht="15.75" x14ac:dyDescent="0.25">
      <c r="A15" s="127">
        <v>13</v>
      </c>
      <c r="B15" s="128" t="s">
        <v>40</v>
      </c>
      <c r="C15" s="129">
        <v>16504332</v>
      </c>
      <c r="D15" s="130">
        <v>14654555</v>
      </c>
      <c r="E15" s="130">
        <v>13987746</v>
      </c>
      <c r="F15" s="128">
        <f t="shared" si="0"/>
        <v>45146633</v>
      </c>
      <c r="G15" s="128">
        <f t="shared" si="1"/>
        <v>15048877.666666666</v>
      </c>
      <c r="H15" s="133">
        <f t="shared" si="2"/>
        <v>9.989710406214817</v>
      </c>
      <c r="I15" s="133">
        <f t="shared" si="3"/>
        <v>33.213789158583026</v>
      </c>
    </row>
    <row r="16" spans="1:9" ht="15.75" x14ac:dyDescent="0.25">
      <c r="A16" s="127">
        <v>14</v>
      </c>
      <c r="B16" s="128" t="s">
        <v>50</v>
      </c>
      <c r="C16" s="127">
        <v>4368529</v>
      </c>
      <c r="D16" s="128">
        <v>4711024</v>
      </c>
      <c r="E16" s="128">
        <v>4074096</v>
      </c>
      <c r="F16" s="128">
        <f t="shared" si="0"/>
        <v>13153649</v>
      </c>
      <c r="G16" s="128">
        <f t="shared" si="1"/>
        <v>4384549.666666667</v>
      </c>
      <c r="H16" s="133">
        <f t="shared" si="2"/>
        <v>2.9105413972952783</v>
      </c>
      <c r="I16" s="133">
        <f t="shared" si="3"/>
        <v>9.6769680377273417</v>
      </c>
    </row>
    <row r="17" spans="1:10" ht="15.75" x14ac:dyDescent="0.25">
      <c r="A17" s="127">
        <v>15</v>
      </c>
      <c r="B17" s="128" t="s">
        <v>52</v>
      </c>
      <c r="C17" s="127">
        <v>8147237</v>
      </c>
      <c r="D17" s="128">
        <v>7861974</v>
      </c>
      <c r="E17" s="128">
        <v>7969097</v>
      </c>
      <c r="F17" s="128">
        <f t="shared" si="0"/>
        <v>23978308</v>
      </c>
      <c r="G17" s="128">
        <f t="shared" si="1"/>
        <v>7992769.333333333</v>
      </c>
      <c r="H17" s="133">
        <f t="shared" si="2"/>
        <v>5.3057412487665241</v>
      </c>
      <c r="I17" s="133">
        <f t="shared" si="3"/>
        <v>17.640528503898942</v>
      </c>
    </row>
    <row r="18" spans="1:10" ht="15.75" x14ac:dyDescent="0.25">
      <c r="A18" s="127">
        <v>16</v>
      </c>
      <c r="B18" s="128" t="s">
        <v>54</v>
      </c>
      <c r="C18" s="127">
        <v>13360426</v>
      </c>
      <c r="D18" s="128">
        <v>13730589</v>
      </c>
      <c r="E18" s="128">
        <v>13652652</v>
      </c>
      <c r="F18" s="128">
        <f t="shared" si="0"/>
        <v>40743667</v>
      </c>
      <c r="G18" s="128">
        <f t="shared" si="1"/>
        <v>13581222.333333334</v>
      </c>
      <c r="H18" s="133">
        <f t="shared" si="2"/>
        <v>9.0154549114936486</v>
      </c>
      <c r="I18" s="133">
        <f t="shared" si="3"/>
        <v>29.974584489734085</v>
      </c>
    </row>
    <row r="19" spans="1:10" ht="15.75" x14ac:dyDescent="0.25">
      <c r="A19" s="127">
        <v>17</v>
      </c>
      <c r="B19" s="128" t="s">
        <v>58</v>
      </c>
      <c r="C19" s="127">
        <v>9161070</v>
      </c>
      <c r="D19" s="128">
        <v>9831549</v>
      </c>
      <c r="E19" s="128">
        <v>10110306</v>
      </c>
      <c r="F19" s="128">
        <f t="shared" si="0"/>
        <v>29102925</v>
      </c>
      <c r="G19" s="128">
        <f t="shared" si="1"/>
        <v>9700975</v>
      </c>
      <c r="H19" s="133">
        <f t="shared" si="2"/>
        <v>6.4396782972450977</v>
      </c>
      <c r="I19" s="133">
        <f t="shared" si="3"/>
        <v>21.410642402680502</v>
      </c>
    </row>
    <row r="20" spans="1:10" ht="15.75" x14ac:dyDescent="0.25">
      <c r="A20" s="127">
        <v>18</v>
      </c>
      <c r="B20" s="128" t="s">
        <v>60</v>
      </c>
      <c r="C20" s="127">
        <v>6179205</v>
      </c>
      <c r="D20" s="128">
        <v>5581064</v>
      </c>
      <c r="E20" s="128">
        <v>5215906</v>
      </c>
      <c r="F20" s="128">
        <f t="shared" si="0"/>
        <v>16976175</v>
      </c>
      <c r="G20" s="128">
        <f t="shared" si="1"/>
        <v>5658725</v>
      </c>
      <c r="H20" s="133">
        <f t="shared" si="2"/>
        <v>3.7563614556864917</v>
      </c>
      <c r="I20" s="133">
        <f t="shared" si="3"/>
        <v>12.489150567866448</v>
      </c>
    </row>
    <row r="21" spans="1:10" ht="15.75" x14ac:dyDescent="0.25">
      <c r="A21" s="127">
        <v>19</v>
      </c>
      <c r="B21" s="128" t="s">
        <v>64</v>
      </c>
      <c r="C21" s="127">
        <v>19071717</v>
      </c>
      <c r="D21" s="128">
        <v>18685674</v>
      </c>
      <c r="E21" s="128">
        <v>19479380</v>
      </c>
      <c r="F21" s="128">
        <f t="shared" si="0"/>
        <v>57236771</v>
      </c>
      <c r="G21" s="128">
        <f t="shared" si="1"/>
        <v>19078923.666666668</v>
      </c>
      <c r="H21" s="133">
        <f t="shared" si="2"/>
        <v>12.66492601733632</v>
      </c>
      <c r="I21" s="133">
        <f t="shared" si="3"/>
        <v>42.108346022439804</v>
      </c>
    </row>
    <row r="22" spans="1:10" ht="15.75" x14ac:dyDescent="0.25">
      <c r="A22" s="127">
        <v>20</v>
      </c>
      <c r="B22" s="128" t="s">
        <v>66</v>
      </c>
      <c r="C22" s="127">
        <v>1339653</v>
      </c>
      <c r="D22" s="128">
        <v>1335728</v>
      </c>
      <c r="E22" s="128">
        <v>1312862</v>
      </c>
      <c r="F22" s="128">
        <f t="shared" si="0"/>
        <v>3988243</v>
      </c>
      <c r="G22" s="128">
        <f t="shared" si="1"/>
        <v>1329414.3333333333</v>
      </c>
      <c r="H22" s="133">
        <f t="shared" si="2"/>
        <v>0.88248868081952858</v>
      </c>
      <c r="I22" s="133">
        <f t="shared" si="3"/>
        <v>2.9340983659887687</v>
      </c>
    </row>
    <row r="23" spans="1:10" ht="15.75" x14ac:dyDescent="0.25">
      <c r="A23" s="127">
        <v>21</v>
      </c>
      <c r="B23" s="126" t="s">
        <v>225</v>
      </c>
      <c r="C23" s="127">
        <v>5896069</v>
      </c>
      <c r="D23" s="128">
        <v>6073690</v>
      </c>
      <c r="E23" s="128">
        <v>6274673</v>
      </c>
      <c r="F23" s="128">
        <f t="shared" si="0"/>
        <v>18244432</v>
      </c>
      <c r="G23" s="128">
        <f t="shared" si="1"/>
        <v>6081477.333333333</v>
      </c>
      <c r="H23" s="133">
        <f t="shared" si="2"/>
        <v>4.0369919104682417</v>
      </c>
      <c r="I23" s="133">
        <f t="shared" si="3"/>
        <v>13.422190703924812</v>
      </c>
    </row>
    <row r="24" spans="1:10" ht="15.75" x14ac:dyDescent="0.25">
      <c r="A24" s="131"/>
      <c r="B24" s="132" t="s">
        <v>139</v>
      </c>
      <c r="C24" s="126">
        <f>SUM(C3:C23)</f>
        <v>150783643</v>
      </c>
      <c r="D24" s="126">
        <f>SUM(D3:D23)</f>
        <v>151142772</v>
      </c>
      <c r="E24" s="126">
        <f>SUM(E3:E23)</f>
        <v>150004933</v>
      </c>
      <c r="F24" s="126">
        <f>SUM(F3:F23)</f>
        <v>451931348</v>
      </c>
      <c r="G24" s="126">
        <f>SUM(G3:G23)</f>
        <v>150643782.66666669</v>
      </c>
      <c r="H24" s="133">
        <f t="shared" si="2"/>
        <v>99.999999778727471</v>
      </c>
      <c r="I24" s="133">
        <f t="shared" si="3"/>
        <v>332.47999926431311</v>
      </c>
    </row>
    <row r="25" spans="1:10" ht="15.75" x14ac:dyDescent="0.25">
      <c r="A25" s="128"/>
      <c r="B25" s="128"/>
      <c r="C25" s="128"/>
      <c r="D25" s="128"/>
      <c r="E25" s="128"/>
      <c r="F25" s="128"/>
      <c r="G25" s="128"/>
      <c r="H25" s="128"/>
      <c r="I25" s="128"/>
    </row>
    <row r="26" spans="1:10" ht="15.75" x14ac:dyDescent="0.25">
      <c r="A26" s="128"/>
      <c r="B26" s="128"/>
      <c r="C26" s="128"/>
      <c r="D26" s="128"/>
      <c r="E26" s="128"/>
      <c r="F26" s="128"/>
      <c r="G26" s="128"/>
      <c r="H26" s="128"/>
      <c r="I26" s="128"/>
    </row>
    <row r="27" spans="1:10" ht="15.75" x14ac:dyDescent="0.25">
      <c r="A27" s="128"/>
      <c r="B27" s="128"/>
      <c r="C27" s="128"/>
      <c r="D27" s="128"/>
      <c r="E27" s="128"/>
      <c r="F27" s="128"/>
      <c r="G27" s="128"/>
      <c r="H27" s="128"/>
      <c r="I27" s="128"/>
    </row>
    <row r="28" spans="1:10" ht="15.75" x14ac:dyDescent="0.25">
      <c r="A28" s="128"/>
      <c r="B28" s="128"/>
      <c r="C28" s="128"/>
      <c r="D28" s="128"/>
      <c r="E28" s="128"/>
      <c r="F28" s="128"/>
      <c r="G28" s="128"/>
      <c r="H28" s="128"/>
      <c r="I28" s="128"/>
    </row>
    <row r="29" spans="1:10" ht="15.75" x14ac:dyDescent="0.25">
      <c r="A29" s="127">
        <v>1</v>
      </c>
      <c r="B29" s="128" t="s">
        <v>14</v>
      </c>
      <c r="C29" s="127">
        <v>491472</v>
      </c>
      <c r="D29" s="128">
        <v>542124</v>
      </c>
      <c r="E29" s="128">
        <v>509986</v>
      </c>
      <c r="F29" s="128">
        <f>SUM(C29:E29)</f>
        <v>1543582</v>
      </c>
      <c r="G29" s="133">
        <f>AVERAGE(C29:E29)</f>
        <v>514527.33333333331</v>
      </c>
      <c r="H29" s="133">
        <f>G29/5922901.3*100</f>
        <v>8.6870826858677077</v>
      </c>
      <c r="I29" s="133">
        <f>39.22*H29/100</f>
        <v>3.4070738293973148</v>
      </c>
    </row>
    <row r="30" spans="1:10" ht="15.75" x14ac:dyDescent="0.25">
      <c r="A30" s="127">
        <v>2</v>
      </c>
      <c r="B30" s="128" t="s">
        <v>16</v>
      </c>
      <c r="C30" s="127">
        <v>3209159</v>
      </c>
      <c r="D30" s="128">
        <v>3295165</v>
      </c>
      <c r="E30" s="128">
        <v>3407054</v>
      </c>
      <c r="F30" s="128">
        <f t="shared" ref="F30:F36" si="4">SUM(C30:E30)</f>
        <v>9911378</v>
      </c>
      <c r="G30" s="133">
        <f t="shared" ref="G30:G36" si="5">AVERAGE(C30:E30)</f>
        <v>3303792.6666666665</v>
      </c>
      <c r="H30" s="133">
        <f t="shared" ref="H30:H37" si="6">G30/5922901.3*100</f>
        <v>55.779971661298269</v>
      </c>
      <c r="I30" s="133">
        <f t="shared" ref="I30:I37" si="7">39.22*H30/100</f>
        <v>21.876904885561181</v>
      </c>
      <c r="J30" s="97"/>
    </row>
    <row r="31" spans="1:10" ht="15.75" x14ac:dyDescent="0.25">
      <c r="A31" s="127">
        <v>3</v>
      </c>
      <c r="B31" s="128" t="s">
        <v>42</v>
      </c>
      <c r="C31" s="127">
        <v>289684</v>
      </c>
      <c r="D31" s="128">
        <v>295331</v>
      </c>
      <c r="E31" s="128">
        <v>270894</v>
      </c>
      <c r="F31" s="128">
        <f t="shared" si="4"/>
        <v>855909</v>
      </c>
      <c r="G31" s="133">
        <f t="shared" si="5"/>
        <v>285303</v>
      </c>
      <c r="H31" s="133">
        <f t="shared" si="6"/>
        <v>4.8169467217020827</v>
      </c>
      <c r="I31" s="133">
        <f t="shared" si="7"/>
        <v>1.8892065042515569</v>
      </c>
    </row>
    <row r="32" spans="1:10" ht="15.75" x14ac:dyDescent="0.25">
      <c r="A32" s="127">
        <v>4</v>
      </c>
      <c r="B32" s="128" t="s">
        <v>44</v>
      </c>
      <c r="C32" s="127">
        <v>326927</v>
      </c>
      <c r="D32" s="128">
        <v>376920</v>
      </c>
      <c r="E32" s="128">
        <v>347407</v>
      </c>
      <c r="F32" s="128">
        <f t="shared" si="4"/>
        <v>1051254</v>
      </c>
      <c r="G32" s="133">
        <f t="shared" si="5"/>
        <v>350418</v>
      </c>
      <c r="H32" s="133">
        <f t="shared" si="6"/>
        <v>5.9163234747808477</v>
      </c>
      <c r="I32" s="133">
        <f t="shared" si="7"/>
        <v>2.3203820668090485</v>
      </c>
    </row>
    <row r="33" spans="1:9" ht="15.75" x14ac:dyDescent="0.25">
      <c r="A33" s="127">
        <v>5</v>
      </c>
      <c r="B33" s="128" t="s">
        <v>131</v>
      </c>
      <c r="C33" s="127">
        <v>157013</v>
      </c>
      <c r="D33" s="128">
        <v>329059</v>
      </c>
      <c r="E33" s="128">
        <v>341300</v>
      </c>
      <c r="F33" s="128">
        <f t="shared" si="4"/>
        <v>827372</v>
      </c>
      <c r="G33" s="133">
        <f t="shared" si="5"/>
        <v>275790.66666666669</v>
      </c>
      <c r="H33" s="133">
        <f t="shared" si="6"/>
        <v>4.6563441242329446</v>
      </c>
      <c r="I33" s="133">
        <f t="shared" si="7"/>
        <v>1.8262181655241607</v>
      </c>
    </row>
    <row r="34" spans="1:9" ht="15.75" x14ac:dyDescent="0.25">
      <c r="A34" s="127">
        <v>6</v>
      </c>
      <c r="B34" s="128" t="s">
        <v>48</v>
      </c>
      <c r="C34" s="127">
        <v>435269</v>
      </c>
      <c r="D34" s="128">
        <v>452811</v>
      </c>
      <c r="E34" s="128">
        <v>419316</v>
      </c>
      <c r="F34" s="128">
        <f t="shared" si="4"/>
        <v>1307396</v>
      </c>
      <c r="G34" s="133">
        <f t="shared" si="5"/>
        <v>435798.66666666669</v>
      </c>
      <c r="H34" s="133">
        <f t="shared" si="6"/>
        <v>7.3578579921071237</v>
      </c>
      <c r="I34" s="133">
        <f t="shared" si="7"/>
        <v>2.8857519045044135</v>
      </c>
    </row>
    <row r="35" spans="1:9" ht="15.75" x14ac:dyDescent="0.25">
      <c r="A35" s="127">
        <v>7</v>
      </c>
      <c r="B35" s="128" t="s">
        <v>56</v>
      </c>
      <c r="C35" s="127">
        <v>96740</v>
      </c>
      <c r="D35" s="128">
        <v>99226</v>
      </c>
      <c r="E35" s="128">
        <v>97920</v>
      </c>
      <c r="F35" s="128">
        <f t="shared" si="4"/>
        <v>293886</v>
      </c>
      <c r="G35" s="133">
        <f t="shared" si="5"/>
        <v>97962</v>
      </c>
      <c r="H35" s="133">
        <f t="shared" si="6"/>
        <v>1.6539529368824701</v>
      </c>
      <c r="I35" s="133">
        <f t="shared" si="7"/>
        <v>0.64868034184530476</v>
      </c>
    </row>
    <row r="36" spans="1:9" ht="15.75" x14ac:dyDescent="0.25">
      <c r="A36" s="127">
        <v>8</v>
      </c>
      <c r="B36" s="128" t="s">
        <v>62</v>
      </c>
      <c r="C36" s="127">
        <v>646611</v>
      </c>
      <c r="D36" s="128">
        <v>670462</v>
      </c>
      <c r="E36" s="128">
        <v>660854</v>
      </c>
      <c r="F36" s="128">
        <f t="shared" si="4"/>
        <v>1977927</v>
      </c>
      <c r="G36" s="133">
        <f t="shared" si="5"/>
        <v>659309</v>
      </c>
      <c r="H36" s="133">
        <f t="shared" si="6"/>
        <v>11.131520965915808</v>
      </c>
      <c r="I36" s="133">
        <f t="shared" si="7"/>
        <v>4.3657825228321796</v>
      </c>
    </row>
    <row r="37" spans="1:9" ht="15.75" x14ac:dyDescent="0.25">
      <c r="A37" s="126"/>
      <c r="B37" s="132" t="s">
        <v>139</v>
      </c>
      <c r="C37" s="126">
        <f>SUM(C29:C36)</f>
        <v>5652875</v>
      </c>
      <c r="D37" s="126">
        <f>SUM(D29:D36)</f>
        <v>6061098</v>
      </c>
      <c r="E37" s="126">
        <f>SUM(E29:E36)</f>
        <v>6054731</v>
      </c>
      <c r="F37" s="126">
        <f>SUM(F29:F36)</f>
        <v>17768704</v>
      </c>
      <c r="G37" s="134">
        <f>SUM(G29:G36)</f>
        <v>5922901.333333334</v>
      </c>
      <c r="H37" s="133">
        <f t="shared" si="6"/>
        <v>100.00000056278726</v>
      </c>
      <c r="I37" s="134">
        <f t="shared" si="7"/>
        <v>39.220000220725161</v>
      </c>
    </row>
    <row r="39" spans="1:9" ht="33" customHeight="1" x14ac:dyDescent="0.25">
      <c r="A39" s="225" t="s">
        <v>226</v>
      </c>
      <c r="B39" s="225"/>
      <c r="C39" s="225"/>
      <c r="D39" s="225"/>
      <c r="E39" s="225"/>
      <c r="F39" s="225"/>
      <c r="G39" s="225"/>
      <c r="H39" s="225"/>
      <c r="I39" s="225"/>
    </row>
  </sheetData>
  <mergeCells count="6">
    <mergeCell ref="A39:I39"/>
    <mergeCell ref="A1:A2"/>
    <mergeCell ref="B1:B2"/>
    <mergeCell ref="C1:E1"/>
    <mergeCell ref="F1:F2"/>
    <mergeCell ref="G1:G2"/>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para-6 (A)</vt:lpstr>
      <vt:lpstr>para-6 (B)</vt:lpstr>
      <vt:lpstr>Expnd 2013-14</vt:lpstr>
      <vt:lpstr>expnd 2014-15</vt:lpstr>
      <vt:lpstr>expnd 2015-16</vt:lpstr>
      <vt:lpstr>Expnd 2016-17</vt:lpstr>
      <vt:lpstr>Net unirrigated area</vt:lpstr>
      <vt:lpstr>SCST popn</vt:lpstr>
      <vt:lpstr>GSVA</vt:lpstr>
      <vt:lpstr>Small &amp; Marginal farmers</vt:lpstr>
      <vt:lpstr>youth popn</vt:lpstr>
      <vt:lpstr>Inc in expnd</vt:lpstr>
      <vt:lpstr>yield Gap</vt:lpstr>
      <vt:lpstr>Final Allocation</vt:lpstr>
      <vt:lpstr>'Final Allocation'!Print_Area</vt:lpstr>
      <vt:lpstr>'Inc in expnd'!Print_Area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2018-05-14T09:31:43Z</dcterms:modified>
</cp:coreProperties>
</file>